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7042\Desktop\"/>
    </mc:Choice>
  </mc:AlternateContent>
  <bookViews>
    <workbookView xWindow="-120" yWindow="-120" windowWidth="29040" windowHeight="15720"/>
  </bookViews>
  <sheets>
    <sheet name="高槻市" sheetId="1" r:id="rId1"/>
  </sheets>
  <definedNames>
    <definedName name="_xlnm.Print_Area" localSheetId="0">高槻市!$B$2:$J$14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l="1"/>
  <c r="R16" i="1" l="1"/>
  <c r="Q195" i="1" l="1"/>
  <c r="R195" i="1" s="1"/>
  <c r="Q194" i="1"/>
  <c r="R194" i="1" s="1"/>
  <c r="Q193" i="1"/>
  <c r="R193" i="1" s="1"/>
  <c r="Q192" i="1"/>
  <c r="R192" i="1" s="1"/>
  <c r="Q191" i="1"/>
  <c r="R191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5" i="1"/>
  <c r="R175" i="1" s="1"/>
  <c r="Q174" i="1"/>
  <c r="R174" i="1" s="1"/>
  <c r="Q173" i="1"/>
  <c r="R173" i="1" s="1"/>
  <c r="R172" i="1"/>
  <c r="Q156" i="1"/>
  <c r="R156" i="1" s="1"/>
  <c r="Q155" i="1"/>
  <c r="R155" i="1" s="1"/>
  <c r="Q154" i="1"/>
  <c r="R154" i="1" s="1"/>
  <c r="Q153" i="1"/>
  <c r="R153" i="1" s="1"/>
  <c r="Q152" i="1"/>
  <c r="R152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R133" i="1"/>
  <c r="Q117" i="1"/>
  <c r="R117" i="1" s="1"/>
  <c r="Q116" i="1"/>
  <c r="R116" i="1" s="1"/>
  <c r="Q115" i="1"/>
  <c r="R115" i="1" s="1"/>
  <c r="Q114" i="1"/>
  <c r="R114" i="1" s="1"/>
  <c r="Q113" i="1"/>
  <c r="R113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R94" i="1"/>
  <c r="Q78" i="1"/>
  <c r="R78" i="1" s="1"/>
  <c r="Q77" i="1"/>
  <c r="R77" i="1" s="1"/>
  <c r="Q76" i="1"/>
  <c r="R76" i="1" s="1"/>
  <c r="Q75" i="1"/>
  <c r="R75" i="1" s="1"/>
  <c r="Q74" i="1"/>
  <c r="R74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R55" i="1"/>
  <c r="Q39" i="1"/>
  <c r="R39" i="1" s="1"/>
  <c r="Q38" i="1"/>
  <c r="R38" i="1" s="1"/>
  <c r="Q37" i="1"/>
  <c r="R37" i="1" s="1"/>
  <c r="Q36" i="1"/>
  <c r="R36" i="1" s="1"/>
  <c r="Q35" i="1"/>
  <c r="R35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R79" i="1" l="1"/>
  <c r="E11" i="1" s="1"/>
  <c r="R157" i="1"/>
  <c r="G11" i="1" s="1"/>
  <c r="R196" i="1"/>
  <c r="H11" i="1" s="1"/>
  <c r="R118" i="1"/>
  <c r="F11" i="1" s="1"/>
  <c r="R70" i="1"/>
  <c r="E10" i="1" s="1"/>
  <c r="R109" i="1"/>
  <c r="F10" i="1" s="1"/>
  <c r="R148" i="1"/>
  <c r="G10" i="1" s="1"/>
  <c r="R31" i="1"/>
  <c r="D10" i="1" s="1"/>
  <c r="R40" i="1"/>
  <c r="D11" i="1" s="1"/>
  <c r="R187" i="1"/>
  <c r="H10" i="1" s="1"/>
  <c r="H12" i="1" s="1"/>
  <c r="F12" i="1" l="1"/>
  <c r="E12" i="1"/>
  <c r="G12" i="1"/>
  <c r="D12" i="1"/>
</calcChain>
</file>

<file path=xl/sharedStrings.xml><?xml version="1.0" encoding="utf-8"?>
<sst xmlns="http://schemas.openxmlformats.org/spreadsheetml/2006/main" count="228" uniqueCount="54">
  <si>
    <t>(改定前)令和7年9月まで</t>
    <rPh sb="1" eb="4">
      <t>カイテイマエ</t>
    </rPh>
    <rPh sb="5" eb="7">
      <t>レイワ</t>
    </rPh>
    <rPh sb="8" eb="9">
      <t>ネン</t>
    </rPh>
    <rPh sb="10" eb="11">
      <t>ガツ</t>
    </rPh>
    <phoneticPr fontId="2"/>
  </si>
  <si>
    <t>口径</t>
    <rPh sb="0" eb="2">
      <t>コウケイ</t>
    </rPh>
    <phoneticPr fontId="6"/>
  </si>
  <si>
    <t>13,20,25㎜(一般家庭用)</t>
    <rPh sb="10" eb="15">
      <t>イッパンカテイヨウ</t>
    </rPh>
    <phoneticPr fontId="2"/>
  </si>
  <si>
    <t>◎水道料金</t>
    <rPh sb="1" eb="3">
      <t>スイドウ</t>
    </rPh>
    <rPh sb="3" eb="5">
      <t>リョウキン</t>
    </rPh>
    <phoneticPr fontId="6"/>
  </si>
  <si>
    <t>使用水量</t>
    <rPh sb="0" eb="2">
      <t>シヨウ</t>
    </rPh>
    <rPh sb="2" eb="4">
      <t>スイリョウ</t>
    </rPh>
    <phoneticPr fontId="6"/>
  </si>
  <si>
    <t>基本料金</t>
    <rPh sb="0" eb="2">
      <t>キホン</t>
    </rPh>
    <rPh sb="2" eb="4">
      <t>リョウキン</t>
    </rPh>
    <phoneticPr fontId="6"/>
  </si>
  <si>
    <t>30㎜</t>
    <phoneticPr fontId="2"/>
  </si>
  <si>
    <t>(改定前)
　　令和7年9月まで</t>
    <rPh sb="1" eb="4">
      <t>カイテイマエ</t>
    </rPh>
    <rPh sb="8" eb="10">
      <t>レイワ</t>
    </rPh>
    <rPh sb="11" eb="12">
      <t>ネン</t>
    </rPh>
    <rPh sb="13" eb="14">
      <t>ガツ</t>
    </rPh>
    <phoneticPr fontId="2"/>
  </si>
  <si>
    <t>(1)令和7年10月から
　　 令和8年3月まで</t>
    <rPh sb="3" eb="5">
      <t>レイワ</t>
    </rPh>
    <rPh sb="6" eb="7">
      <t>ネン</t>
    </rPh>
    <rPh sb="9" eb="10">
      <t>ガツ</t>
    </rPh>
    <rPh sb="16" eb="18">
      <t>レイワ</t>
    </rPh>
    <rPh sb="19" eb="20">
      <t>ネン</t>
    </rPh>
    <rPh sb="21" eb="22">
      <t>ガツ</t>
    </rPh>
    <phoneticPr fontId="2"/>
  </si>
  <si>
    <t>(3)
　令和10年4月以降</t>
    <rPh sb="5" eb="7">
      <t>レイワ</t>
    </rPh>
    <rPh sb="9" eb="10">
      <t>ネン</t>
    </rPh>
    <rPh sb="11" eb="12">
      <t>ガツ</t>
    </rPh>
    <rPh sb="12" eb="14">
      <t>イコウ</t>
    </rPh>
    <phoneticPr fontId="2"/>
  </si>
  <si>
    <t>40㎜</t>
    <phoneticPr fontId="2"/>
  </si>
  <si>
    <t>水道料金</t>
    <rPh sb="0" eb="4">
      <t>スイドウリョウキン</t>
    </rPh>
    <phoneticPr fontId="2"/>
  </si>
  <si>
    <t>税込</t>
    <rPh sb="0" eb="2">
      <t>ゼイコ</t>
    </rPh>
    <phoneticPr fontId="2"/>
  </si>
  <si>
    <t>50㎜</t>
    <phoneticPr fontId="2"/>
  </si>
  <si>
    <t>下水道使用料</t>
    <rPh sb="0" eb="6">
      <t>ゲスイドウシヨウリョウ</t>
    </rPh>
    <phoneticPr fontId="2"/>
  </si>
  <si>
    <t>75㎜</t>
    <phoneticPr fontId="2"/>
  </si>
  <si>
    <t>合 計</t>
    <rPh sb="0" eb="1">
      <t>ゴウ</t>
    </rPh>
    <rPh sb="2" eb="3">
      <t>ケイ</t>
    </rPh>
    <phoneticPr fontId="2"/>
  </si>
  <si>
    <t>100㎜</t>
    <phoneticPr fontId="2"/>
  </si>
  <si>
    <t>150㎜</t>
    <phoneticPr fontId="2"/>
  </si>
  <si>
    <t>200㎜</t>
    <phoneticPr fontId="2"/>
  </si>
  <si>
    <t>基本料金</t>
    <rPh sb="0" eb="4">
      <t>キホンリョウキン</t>
    </rPh>
    <phoneticPr fontId="2"/>
  </si>
  <si>
    <t>従量料金</t>
    <rPh sb="0" eb="4">
      <t>ジュウリョウリョウキン</t>
    </rPh>
    <phoneticPr fontId="2"/>
  </si>
  <si>
    <t>13～25</t>
    <phoneticPr fontId="6"/>
  </si>
  <si>
    <t>1～12</t>
    <phoneticPr fontId="6"/>
  </si>
  <si>
    <t>13～20</t>
    <phoneticPr fontId="6"/>
  </si>
  <si>
    <t>21～40</t>
    <phoneticPr fontId="6"/>
  </si>
  <si>
    <t>41～60</t>
    <phoneticPr fontId="6"/>
  </si>
  <si>
    <t>61～100</t>
    <phoneticPr fontId="6"/>
  </si>
  <si>
    <t>101～600</t>
    <phoneticPr fontId="6"/>
  </si>
  <si>
    <t>601～2000</t>
    <phoneticPr fontId="6"/>
  </si>
  <si>
    <t>2001以上</t>
    <rPh sb="4" eb="6">
      <t>イジョウ</t>
    </rPh>
    <phoneticPr fontId="2"/>
  </si>
  <si>
    <t>30以上</t>
    <rPh sb="2" eb="4">
      <t>イジョウ</t>
    </rPh>
    <phoneticPr fontId="2"/>
  </si>
  <si>
    <t>1～40</t>
    <phoneticPr fontId="6"/>
  </si>
  <si>
    <t>水道料金（税抜）</t>
    <rPh sb="0" eb="4">
      <t>スイドウリョウキン</t>
    </rPh>
    <rPh sb="5" eb="7">
      <t>ゼイヌ</t>
    </rPh>
    <phoneticPr fontId="2"/>
  </si>
  <si>
    <t>◎下水道使用料</t>
    <rPh sb="1" eb="4">
      <t>ゲスイドウ</t>
    </rPh>
    <rPh sb="4" eb="7">
      <t>シヨウリョウ</t>
    </rPh>
    <phoneticPr fontId="6"/>
  </si>
  <si>
    <t>0～20</t>
    <phoneticPr fontId="2"/>
  </si>
  <si>
    <t>41～100</t>
    <phoneticPr fontId="6"/>
  </si>
  <si>
    <t>2001以上</t>
    <rPh sb="4" eb="6">
      <t>イジョウ</t>
    </rPh>
    <phoneticPr fontId="6"/>
  </si>
  <si>
    <t>下水道使用料（税抜）</t>
    <rPh sb="0" eb="6">
      <t>ゲスイドウシヨウリョウ</t>
    </rPh>
    <rPh sb="7" eb="9">
      <t>ゼイヌ</t>
    </rPh>
    <phoneticPr fontId="2"/>
  </si>
  <si>
    <t>(1)令和7年10月から令和8年3月まで</t>
    <rPh sb="3" eb="5">
      <t>レイワ</t>
    </rPh>
    <rPh sb="6" eb="7">
      <t>ネン</t>
    </rPh>
    <rPh sb="9" eb="10">
      <t>ガツ</t>
    </rPh>
    <rPh sb="12" eb="14">
      <t>レイワ</t>
    </rPh>
    <rPh sb="15" eb="16">
      <t>ネン</t>
    </rPh>
    <rPh sb="17" eb="18">
      <t>ガツ</t>
    </rPh>
    <phoneticPr fontId="2"/>
  </si>
  <si>
    <t>(2)-1　令和8年4月から令和8年9月まで</t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phoneticPr fontId="2"/>
  </si>
  <si>
    <t>(2)-2　令和8年10月から令和10年3月まで</t>
    <rPh sb="6" eb="8">
      <t>レイワ</t>
    </rPh>
    <rPh sb="9" eb="10">
      <t>ネン</t>
    </rPh>
    <rPh sb="12" eb="13">
      <t>ガツ</t>
    </rPh>
    <rPh sb="15" eb="17">
      <t>レイワ</t>
    </rPh>
    <rPh sb="19" eb="20">
      <t>ネン</t>
    </rPh>
    <rPh sb="21" eb="22">
      <t>ガツ</t>
    </rPh>
    <phoneticPr fontId="2"/>
  </si>
  <si>
    <t>(3)令和10年4月以降</t>
    <rPh sb="3" eb="5">
      <t>レイワ</t>
    </rPh>
    <rPh sb="7" eb="8">
      <t>ネン</t>
    </rPh>
    <rPh sb="9" eb="10">
      <t>ガツ</t>
    </rPh>
    <rPh sb="10" eb="12">
      <t>イコウ</t>
    </rPh>
    <phoneticPr fontId="2"/>
  </si>
  <si>
    <t>(2)令和8年4月から
　　 令和10年3月まで</t>
    <rPh sb="3" eb="5">
      <t>レイワ</t>
    </rPh>
    <rPh sb="6" eb="7">
      <t>ネン</t>
    </rPh>
    <rPh sb="8" eb="9">
      <t>ガツ</t>
    </rPh>
    <rPh sb="15" eb="17">
      <t>レイワ</t>
    </rPh>
    <rPh sb="19" eb="20">
      <t>ネン</t>
    </rPh>
    <rPh sb="21" eb="22">
      <t>ガツ</t>
    </rPh>
    <phoneticPr fontId="2"/>
  </si>
  <si>
    <r>
      <t>【</t>
    </r>
    <r>
      <rPr>
        <sz val="11"/>
        <color theme="1"/>
        <rFont val="游ゴシック"/>
        <family val="3"/>
        <charset val="128"/>
      </rPr>
      <t>↓</t>
    </r>
    <r>
      <rPr>
        <sz val="11"/>
        <color theme="1"/>
        <rFont val="游ゴシック"/>
        <family val="3"/>
        <charset val="128"/>
        <scheme val="minor"/>
      </rPr>
      <t>参照文字列】</t>
    </r>
    <rPh sb="2" eb="4">
      <t>サンショウ</t>
    </rPh>
    <rPh sb="4" eb="7">
      <t>モジレツ</t>
    </rPh>
    <phoneticPr fontId="2"/>
  </si>
  <si>
    <t>(2)-1 令和8年4月から
　　　令和8年9月まで</t>
    <rPh sb="6" eb="8">
      <t>レイワ</t>
    </rPh>
    <rPh sb="9" eb="10">
      <t>ネン</t>
    </rPh>
    <rPh sb="11" eb="12">
      <t>ガツ</t>
    </rPh>
    <rPh sb="18" eb="20">
      <t>レイワ</t>
    </rPh>
    <rPh sb="21" eb="22">
      <t>ネン</t>
    </rPh>
    <rPh sb="23" eb="24">
      <t>ガツ</t>
    </rPh>
    <phoneticPr fontId="2"/>
  </si>
  <si>
    <t>(2)-2 令和8年10月から
　　　令和10年3月まで</t>
    <rPh sb="6" eb="8">
      <t>レイワ</t>
    </rPh>
    <rPh sb="9" eb="10">
      <t>ネン</t>
    </rPh>
    <rPh sb="12" eb="13">
      <t>ガツ</t>
    </rPh>
    <rPh sb="19" eb="21">
      <t>レイワ</t>
    </rPh>
    <rPh sb="23" eb="24">
      <t>ネン</t>
    </rPh>
    <rPh sb="25" eb="26">
      <t>ガツ</t>
    </rPh>
    <phoneticPr fontId="2"/>
  </si>
  <si>
    <t xml:space="preserve">あなたの２か月の料金は… </t>
    <rPh sb="6" eb="7">
      <t>ゲツ</t>
    </rPh>
    <phoneticPr fontId="2"/>
  </si>
  <si>
    <r>
      <rPr>
        <b/>
        <sz val="22"/>
        <color rgb="FFFFFF93"/>
        <rFont val="HG丸ｺﾞｼｯｸM-PRO"/>
        <family val="3"/>
        <charset val="128"/>
      </rPr>
      <t>２</t>
    </r>
    <r>
      <rPr>
        <b/>
        <sz val="18"/>
        <color rgb="FFFFFF93"/>
        <rFont val="HG丸ｺﾞｼｯｸM-PRO"/>
        <family val="3"/>
        <charset val="128"/>
      </rPr>
      <t>か月あたり・税込</t>
    </r>
    <r>
      <rPr>
        <b/>
        <sz val="18"/>
        <color theme="0"/>
        <rFont val="HG丸ｺﾞｼｯｸM-PRO"/>
        <family val="3"/>
        <charset val="128"/>
      </rPr>
      <t xml:space="preserve">
</t>
    </r>
    <r>
      <rPr>
        <b/>
        <sz val="22"/>
        <color theme="0"/>
        <rFont val="HG丸ｺﾞｼｯｸM-PRO"/>
        <family val="3"/>
        <charset val="128"/>
      </rPr>
      <t>水道料金・下水道使用料　料金シミュレーション</t>
    </r>
    <rPh sb="2" eb="3">
      <t>ゲツ</t>
    </rPh>
    <rPh sb="7" eb="9">
      <t>ゼイコ</t>
    </rPh>
    <rPh sb="10" eb="14">
      <t>スイドウリョウキン</t>
    </rPh>
    <rPh sb="15" eb="21">
      <t>ゲスイドウシヨウリョウ</t>
    </rPh>
    <rPh sb="22" eb="24">
      <t>リョウキン</t>
    </rPh>
    <phoneticPr fontId="2"/>
  </si>
  <si>
    <r>
      <rPr>
        <b/>
        <sz val="16"/>
        <color theme="1"/>
        <rFont val="HG丸ｺﾞｼｯｸM-PRO"/>
        <family val="3"/>
        <charset val="128"/>
      </rPr>
      <t>口径</t>
    </r>
    <r>
      <rPr>
        <b/>
        <sz val="12"/>
        <color theme="1"/>
        <rFont val="HG丸ｺﾞｼｯｸM-PRO"/>
        <family val="3"/>
        <charset val="128"/>
      </rPr>
      <t>と</t>
    </r>
    <r>
      <rPr>
        <b/>
        <sz val="16"/>
        <color theme="1"/>
        <rFont val="HG丸ｺﾞｼｯｸM-PRO"/>
        <family val="3"/>
        <charset val="128"/>
      </rPr>
      <t>使用水量</t>
    </r>
    <r>
      <rPr>
        <b/>
        <sz val="12"/>
        <color theme="1"/>
        <rFont val="HG丸ｺﾞｼｯｸM-PRO"/>
        <family val="3"/>
        <charset val="128"/>
      </rPr>
      <t>(黄色のセル)を入力してください</t>
    </r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</si>
  <si>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リスト▼</t>
    </r>
    <r>
      <rPr>
        <sz val="11"/>
        <color theme="1"/>
        <rFont val="HG丸ｺﾞｼｯｸM-PRO"/>
        <family val="3"/>
        <charset val="128"/>
      </rPr>
      <t>から選択</t>
    </r>
    <rPh sb="8" eb="10">
      <t>センタク</t>
    </rPh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</si>
  <si>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数字のみ</t>
    </r>
    <r>
      <rPr>
        <sz val="11"/>
        <color theme="1"/>
        <rFont val="HG丸ｺﾞｼｯｸM-PRO"/>
        <family val="3"/>
        <charset val="128"/>
      </rPr>
      <t>入力</t>
    </r>
    <rPh sb="2" eb="4">
      <t>スウジ</t>
    </rPh>
    <rPh sb="6" eb="8">
      <t>ニュウリョク</t>
    </rPh>
    <phoneticPr fontId="2"/>
  </si>
  <si>
    <r>
      <rPr>
        <b/>
        <sz val="14"/>
        <color theme="0"/>
        <rFont val="HG丸ｺﾞｼｯｸM-PRO"/>
        <family val="3"/>
        <charset val="128"/>
      </rPr>
      <t>←</t>
    </r>
    <r>
      <rPr>
        <b/>
        <sz val="12"/>
        <color theme="0"/>
        <rFont val="HG丸ｺﾞｼｯｸM-PRO"/>
        <family val="3"/>
        <charset val="128"/>
      </rPr>
      <t>　　 　　　　　　   激変緩和措置期間 　　　  　　  　　</t>
    </r>
    <r>
      <rPr>
        <b/>
        <sz val="14"/>
        <color theme="0"/>
        <rFont val="HG丸ｺﾞｼｯｸM-PRO"/>
        <family val="3"/>
        <charset val="128"/>
      </rPr>
      <t>→</t>
    </r>
    <rPh sb="13" eb="21">
      <t>ゲキヘンカンワソチキカン</t>
    </rPh>
    <phoneticPr fontId="2"/>
  </si>
  <si>
    <r>
      <rPr>
        <b/>
        <sz val="10"/>
        <color theme="0"/>
        <rFont val="HG丸ｺﾞｼｯｸM-PRO"/>
        <family val="3"/>
        <charset val="128"/>
      </rPr>
      <t>基本料金</t>
    </r>
    <r>
      <rPr>
        <b/>
        <sz val="9"/>
        <color theme="0"/>
        <rFont val="HG丸ｺﾞｼｯｸM-PRO"/>
        <family val="3"/>
        <charset val="128"/>
      </rPr>
      <t xml:space="preserve">
</t>
    </r>
    <r>
      <rPr>
        <b/>
        <sz val="11"/>
        <color theme="0"/>
        <rFont val="HG丸ｺﾞｼｯｸM-PRO"/>
        <family val="3"/>
        <charset val="128"/>
      </rPr>
      <t>←無償化期間→</t>
    </r>
    <rPh sb="0" eb="4">
      <t>キホンリョウキン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</si>
</sst>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mm&quot;"/>
    <numFmt numFmtId="177" formatCode="#,##0&quot;㎥&quot;"/>
    <numFmt numFmtId="178" formatCode="#,##0&quot;円&quot;"/>
  </numFmts>
  <fonts count="33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0"/>
      <name val="BIZ UDP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8"/>
      <color theme="0"/>
      <name val="HG丸ｺﾞｼｯｸM-PRO"/>
      <family val="3"/>
      <charset val="128"/>
    </font>
    <font>
      <b/>
      <sz val="22"/>
      <color rgb="FFFFFF93"/>
      <name val="HG丸ｺﾞｼｯｸM-PRO"/>
      <family val="3"/>
      <charset val="128"/>
    </font>
    <font>
      <b/>
      <sz val="18"/>
      <color rgb="FFFFFF93"/>
      <name val="HG丸ｺﾞｼｯｸM-PRO"/>
      <family val="3"/>
      <charset val="128"/>
    </font>
    <font>
      <b/>
      <sz val="22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FF0582"/>
      <name val="HG丸ｺﾞｼｯｸM-PRO"/>
      <family val="3"/>
      <charset val="128"/>
    </font>
    <font>
      <sz val="9"/>
      <color rgb="FFFF0582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AB4B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0582"/>
        <bgColor indexed="64"/>
      </patternFill>
    </fill>
    <fill>
      <patternFill patternType="solid">
        <fgColor rgb="FFE0F8F7"/>
        <bgColor indexed="64"/>
      </patternFill>
    </fill>
    <fill>
      <patternFill patternType="solid">
        <fgColor rgb="FF8CE4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ck">
        <color rgb="FF2AB4B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Dashed">
        <color rgb="FFFF53A9"/>
      </left>
      <right style="mediumDashed">
        <color rgb="FFFF53A9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2AB4B1"/>
      </left>
      <right/>
      <top/>
      <bottom style="thick">
        <color rgb="FF2AB4B1"/>
      </bottom>
      <diagonal/>
    </border>
    <border>
      <left/>
      <right/>
      <top/>
      <bottom style="thick">
        <color rgb="FF2AB4B1"/>
      </bottom>
      <diagonal/>
    </border>
    <border>
      <left/>
      <right style="thick">
        <color rgb="FF2AB4B1"/>
      </right>
      <top/>
      <bottom style="thick">
        <color rgb="FF2AB4B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2AB4B1"/>
      </right>
      <top/>
      <bottom/>
      <diagonal/>
    </border>
    <border>
      <left/>
      <right style="mediumDashed">
        <color theme="1" tint="0.249977111117893"/>
      </right>
      <top/>
      <bottom style="thick">
        <color indexed="64"/>
      </bottom>
      <diagonal/>
    </border>
    <border>
      <left/>
      <right style="mediumDashed">
        <color theme="1" tint="0.249977111117893"/>
      </right>
      <top/>
      <bottom/>
      <diagonal/>
    </border>
    <border>
      <left/>
      <right/>
      <top/>
      <bottom style="thin">
        <color theme="1" tint="0.249977111117893"/>
      </bottom>
      <diagonal/>
    </border>
    <border>
      <left style="mediumDashed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protection hidden="1"/>
    </xf>
    <xf numFmtId="0" fontId="0" fillId="0" borderId="0" xfId="0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7" fillId="0" borderId="0" xfId="0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178" fontId="1" fillId="0" borderId="7" xfId="1" applyNumberFormat="1" applyFont="1" applyBorder="1" applyAlignment="1" applyProtection="1">
      <protection hidden="1"/>
    </xf>
    <xf numFmtId="0" fontId="0" fillId="0" borderId="10" xfId="0" applyBorder="1" applyAlignment="1" applyProtection="1">
      <protection hidden="1"/>
    </xf>
    <xf numFmtId="178" fontId="1" fillId="0" borderId="2" xfId="1" applyNumberFormat="1" applyFont="1" applyBorder="1" applyAlignment="1" applyProtection="1">
      <protection hidden="1"/>
    </xf>
    <xf numFmtId="9" fontId="0" fillId="0" borderId="0" xfId="0" applyNumberFormat="1" applyFill="1" applyBorder="1" applyAlignment="1" applyProtection="1">
      <protection hidden="1"/>
    </xf>
    <xf numFmtId="178" fontId="1" fillId="0" borderId="0" xfId="1" applyNumberFormat="1" applyFon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21" xfId="0" applyBorder="1" applyAlignment="1" applyProtection="1">
      <alignment horizontal="left"/>
      <protection hidden="1"/>
    </xf>
    <xf numFmtId="0" fontId="9" fillId="0" borderId="21" xfId="0" applyFont="1" applyBorder="1" applyAlignment="1" applyProtection="1">
      <protection hidden="1"/>
    </xf>
    <xf numFmtId="0" fontId="10" fillId="7" borderId="10" xfId="0" applyFont="1" applyFill="1" applyBorder="1" applyAlignment="1" applyProtection="1">
      <protection hidden="1"/>
    </xf>
    <xf numFmtId="178" fontId="1" fillId="0" borderId="10" xfId="1" applyNumberFormat="1" applyFont="1" applyBorder="1" applyAlignment="1" applyProtection="1"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178" fontId="0" fillId="0" borderId="10" xfId="0" applyNumberFormat="1" applyBorder="1" applyAlignment="1" applyProtection="1">
      <protection hidden="1"/>
    </xf>
    <xf numFmtId="0" fontId="0" fillId="7" borderId="10" xfId="0" applyFill="1" applyBorder="1" applyAlignment="1" applyProtection="1">
      <protection hidden="1"/>
    </xf>
    <xf numFmtId="0" fontId="9" fillId="0" borderId="17" xfId="0" applyFont="1" applyBorder="1" applyAlignment="1" applyProtection="1">
      <alignment vertical="center" wrapText="1"/>
      <protection hidden="1"/>
    </xf>
    <xf numFmtId="0" fontId="0" fillId="0" borderId="17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9" fontId="11" fillId="0" borderId="0" xfId="0" applyNumberFormat="1" applyFont="1" applyAlignment="1" applyProtection="1">
      <protection hidden="1"/>
    </xf>
    <xf numFmtId="178" fontId="0" fillId="0" borderId="0" xfId="0" applyNumberFormat="1" applyFill="1" applyBorder="1" applyAlignment="1" applyProtection="1">
      <protection hidden="1"/>
    </xf>
    <xf numFmtId="0" fontId="0" fillId="0" borderId="9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6" xfId="0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178" fontId="0" fillId="0" borderId="22" xfId="0" applyNumberFormat="1" applyFill="1" applyBorder="1" applyAlignment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7" xfId="0" applyFill="1" applyBorder="1" applyAlignme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8" fillId="0" borderId="10" xfId="0" applyFont="1" applyBorder="1" applyAlignment="1" applyProtection="1">
      <alignment vertical="center"/>
      <protection hidden="1"/>
    </xf>
    <xf numFmtId="9" fontId="0" fillId="0" borderId="0" xfId="0" applyNumberFormat="1" applyAlignment="1" applyProtection="1"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9" fillId="0" borderId="23" xfId="0" applyFont="1" applyBorder="1" applyAlignment="1" applyProtection="1"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19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0" xfId="0" applyFont="1" applyBorder="1" applyAlignment="1" applyProtection="1">
      <alignment horizontal="left" vertical="center"/>
      <protection hidden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177" fontId="19" fillId="3" borderId="5" xfId="0" applyNumberFormat="1" applyFont="1" applyFill="1" applyBorder="1" applyAlignment="1" applyProtection="1">
      <alignment horizontal="right" vertical="center"/>
      <protection locked="0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right" vertical="center"/>
      <protection hidden="1"/>
    </xf>
    <xf numFmtId="0" fontId="21" fillId="0" borderId="8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protection hidden="1"/>
    </xf>
    <xf numFmtId="0" fontId="24" fillId="8" borderId="26" xfId="0" applyFont="1" applyFill="1" applyBorder="1" applyAlignment="1" applyProtection="1">
      <alignment horizontal="centerContinuous" vertical="center"/>
      <protection hidden="1"/>
    </xf>
    <xf numFmtId="0" fontId="21" fillId="0" borderId="25" xfId="0" applyFont="1" applyBorder="1" applyAlignment="1" applyProtection="1">
      <alignment horizontal="center"/>
      <protection hidden="1"/>
    </xf>
    <xf numFmtId="0" fontId="19" fillId="0" borderId="27" xfId="0" applyFont="1" applyBorder="1" applyAlignment="1" applyProtection="1">
      <alignment horizontal="centerContinuous" vertical="center"/>
      <protection hidden="1"/>
    </xf>
    <xf numFmtId="0" fontId="26" fillId="4" borderId="28" xfId="0" applyFont="1" applyFill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Continuous" vertical="center"/>
      <protection hidden="1"/>
    </xf>
    <xf numFmtId="0" fontId="29" fillId="0" borderId="1" xfId="0" applyFont="1" applyBorder="1" applyAlignment="1" applyProtection="1">
      <alignment horizontal="right" vertical="center"/>
      <protection hidden="1"/>
    </xf>
    <xf numFmtId="0" fontId="30" fillId="0" borderId="24" xfId="0" applyFont="1" applyBorder="1" applyAlignment="1" applyProtection="1">
      <alignment horizontal="left" wrapText="1"/>
      <protection hidden="1"/>
    </xf>
    <xf numFmtId="0" fontId="30" fillId="0" borderId="11" xfId="0" applyFont="1" applyBorder="1" applyAlignment="1" applyProtection="1">
      <alignment horizontal="left" wrapText="1"/>
      <protection hidden="1"/>
    </xf>
    <xf numFmtId="0" fontId="30" fillId="0" borderId="11" xfId="0" applyFont="1" applyBorder="1" applyAlignment="1" applyProtection="1">
      <alignment horizontal="left" wrapText="1" shrinkToFit="1"/>
      <protection hidden="1"/>
    </xf>
    <xf numFmtId="0" fontId="21" fillId="5" borderId="13" xfId="0" applyFont="1" applyFill="1" applyBorder="1" applyAlignment="1" applyProtection="1">
      <alignment horizontal="center" vertical="center"/>
      <protection hidden="1"/>
    </xf>
    <xf numFmtId="178" fontId="22" fillId="5" borderId="14" xfId="0" applyNumberFormat="1" applyFont="1" applyFill="1" applyBorder="1" applyAlignment="1" applyProtection="1">
      <alignment horizontal="right" vertical="center"/>
      <protection hidden="1"/>
    </xf>
    <xf numFmtId="178" fontId="22" fillId="5" borderId="15" xfId="0" applyNumberFormat="1" applyFont="1" applyFill="1" applyBorder="1" applyAlignment="1" applyProtection="1">
      <alignment horizontal="right" vertical="center"/>
      <protection hidden="1"/>
    </xf>
    <xf numFmtId="178" fontId="31" fillId="5" borderId="15" xfId="0" applyNumberFormat="1" applyFont="1" applyFill="1" applyBorder="1" applyAlignment="1" applyProtection="1">
      <alignment horizontal="right" vertical="center" shrinkToFit="1"/>
      <protection hidden="1"/>
    </xf>
    <xf numFmtId="178" fontId="22" fillId="5" borderId="16" xfId="0" applyNumberFormat="1" applyFont="1" applyFill="1" applyBorder="1" applyAlignment="1" applyProtection="1">
      <alignment horizontal="right" vertical="center"/>
      <protection hidden="1"/>
    </xf>
    <xf numFmtId="0" fontId="29" fillId="0" borderId="23" xfId="0" applyFont="1" applyBorder="1" applyAlignment="1" applyProtection="1">
      <alignment horizontal="left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178" fontId="18" fillId="0" borderId="17" xfId="0" applyNumberFormat="1" applyFont="1" applyFill="1" applyBorder="1" applyAlignment="1" applyProtection="1">
      <alignment horizontal="right" vertical="center"/>
      <protection hidden="1"/>
    </xf>
    <xf numFmtId="0" fontId="21" fillId="6" borderId="4" xfId="0" applyFont="1" applyFill="1" applyBorder="1" applyAlignment="1" applyProtection="1">
      <alignment horizontal="center" vertical="center"/>
      <protection hidden="1"/>
    </xf>
    <xf numFmtId="178" fontId="22" fillId="6" borderId="14" xfId="0" applyNumberFormat="1" applyFont="1" applyFill="1" applyBorder="1" applyAlignment="1" applyProtection="1">
      <alignment horizontal="right" vertical="center"/>
      <protection hidden="1"/>
    </xf>
    <xf numFmtId="178" fontId="22" fillId="6" borderId="15" xfId="0" applyNumberFormat="1" applyFont="1" applyFill="1" applyBorder="1" applyAlignment="1" applyProtection="1">
      <alignment horizontal="right" vertical="center"/>
      <protection hidden="1"/>
    </xf>
    <xf numFmtId="178" fontId="31" fillId="6" borderId="15" xfId="0" applyNumberFormat="1" applyFont="1" applyFill="1" applyBorder="1" applyAlignment="1" applyProtection="1">
      <alignment horizontal="right" vertical="center" shrinkToFit="1"/>
      <protection hidden="1"/>
    </xf>
    <xf numFmtId="178" fontId="22" fillId="6" borderId="16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protection hidden="1"/>
    </xf>
    <xf numFmtId="0" fontId="18" fillId="0" borderId="18" xfId="0" applyFont="1" applyBorder="1" applyAlignment="1" applyProtection="1">
      <protection hidden="1"/>
    </xf>
    <xf numFmtId="0" fontId="18" fillId="0" borderId="19" xfId="0" applyFont="1" applyBorder="1" applyAlignment="1" applyProtection="1">
      <protection hidden="1"/>
    </xf>
    <xf numFmtId="0" fontId="18" fillId="0" borderId="19" xfId="0" applyFont="1" applyFill="1" applyBorder="1" applyAlignment="1" applyProtection="1">
      <protection hidden="1"/>
    </xf>
    <xf numFmtId="0" fontId="18" fillId="0" borderId="20" xfId="0" applyFont="1" applyBorder="1" applyAlignment="1" applyProtection="1">
      <protection hidden="1"/>
    </xf>
    <xf numFmtId="0" fontId="30" fillId="0" borderId="30" xfId="0" applyFont="1" applyBorder="1" applyAlignment="1" applyProtection="1">
      <alignment horizontal="left" wrapText="1"/>
      <protection hidden="1"/>
    </xf>
    <xf numFmtId="0" fontId="18" fillId="0" borderId="31" xfId="0" applyFont="1" applyBorder="1" applyAlignment="1" applyProtection="1">
      <protection hidden="1"/>
    </xf>
    <xf numFmtId="0" fontId="30" fillId="0" borderId="32" xfId="0" applyFont="1" applyBorder="1" applyAlignment="1" applyProtection="1">
      <alignment horizontal="left" wrapText="1"/>
      <protection hidden="1"/>
    </xf>
    <xf numFmtId="0" fontId="32" fillId="0" borderId="12" xfId="0" applyFont="1" applyBorder="1" applyAlignment="1" applyProtection="1">
      <alignment horizontal="center" wrapText="1"/>
      <protection hidden="1"/>
    </xf>
    <xf numFmtId="0" fontId="32" fillId="0" borderId="29" xfId="0" applyFont="1" applyBorder="1" applyAlignment="1" applyProtection="1">
      <alignment horizontal="center" wrapText="1" shrinkToFi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2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top" textRotation="255"/>
      <protection hidden="1"/>
    </xf>
    <xf numFmtId="0" fontId="0" fillId="0" borderId="17" xfId="0" applyBorder="1" applyAlignment="1" applyProtection="1">
      <alignment horizontal="center" vertical="top" textRotation="255"/>
      <protection hidden="1"/>
    </xf>
    <xf numFmtId="0" fontId="0" fillId="0" borderId="9" xfId="0" applyBorder="1" applyAlignment="1" applyProtection="1">
      <alignment horizontal="center" vertical="top" textRotation="255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shrinkToFit="1"/>
      <protection hidden="1"/>
    </xf>
    <xf numFmtId="178" fontId="18" fillId="0" borderId="17" xfId="0" applyNumberFormat="1" applyFont="1" applyFill="1" applyBorder="1" applyAlignment="1" applyProtection="1">
      <alignment horizontal="right" vertical="center" shrinkToFit="1"/>
      <protection hidden="1"/>
    </xf>
  </cellXfs>
  <cellStyles count="2">
    <cellStyle name="桁区切り" xfId="1" builtinId="6"/>
    <cellStyle name="標準" xfId="0" builtinId="0"/>
  </cellStyles>
  <dxfs count="4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border>
        <left/>
        <right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</border>
    </dxf>
  </dxfs>
  <tableStyles count="0" defaultTableStyle="TableStyleMedium2" defaultPivotStyle="PivotStyleLight16"/>
  <colors>
    <mruColors>
      <color rgb="FFFF0582"/>
      <color rgb="FFFFC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532933</xdr:colOff>
      <xdr:row>1</xdr:row>
      <xdr:rowOff>139212</xdr:rowOff>
    </xdr:from>
    <xdr:to>
      <xdr:col>7</xdr:col>
      <xdr:colOff>1060363</xdr:colOff>
      <xdr:row>1</xdr:row>
      <xdr:rowOff>809351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0769885">
          <a:off x="8690815" y="374536"/>
          <a:ext cx="527430" cy="670139"/>
        </a:xfrm>
        <a:prstGeom prst="rect">
          <a:avLst/>
        </a:prstGeom>
      </xdr:spPr>
    </xdr:pic>
    <xdr:clientData/>
  </xdr:twoCellAnchor>
  <xdr:twoCellAnchor editAs="oneCell">
    <xdr:from>
      <xdr:col>7</xdr:col>
      <xdr:colOff>980278</xdr:colOff>
      <xdr:row>1</xdr:row>
      <xdr:rowOff>494136</xdr:rowOff>
    </xdr:from>
    <xdr:to>
      <xdr:col>8</xdr:col>
      <xdr:colOff>122330</xdr:colOff>
      <xdr:row>1</xdr:row>
      <xdr:rowOff>774275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967274">
          <a:off x="9138160" y="729460"/>
          <a:ext cx="565199" cy="280139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1019175</xdr:colOff>
      <xdr:row>2</xdr:row>
      <xdr:rowOff>19050</xdr:rowOff>
    </xdr:from>
    <xdr:to>
      <xdr:col>7</xdr:col>
      <xdr:colOff>1047359</xdr:colOff>
      <xdr:row>5</xdr:row>
      <xdr:rowOff>1284952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5850" y="1190625"/>
          <a:ext cx="4285859" cy="254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96"/>
  <sheetViews>
    <sheetView showGridLines="0" tabSelected="1" zoomScale="90" zoomScaleNormal="90" zoomScaleSheetLayoutView="100" workbookViewId="0">
      <selection activeCell="D4" sqref="D4"/>
    </sheetView>
  </sheetViews>
  <sheetFormatPr defaultRowHeight="18.75" outlineLevelCol="1"/>
  <cols>
    <col min="1" max="2" width="3.625" style="1" customWidth="1"/>
    <col min="3" max="3" width="25" style="1" customWidth="1"/>
    <col min="4" max="8" width="18.625" style="1" customWidth="1"/>
    <col min="9" max="9" width="6.625" style="1" customWidth="1"/>
    <col min="10" max="11" width="3.625" style="1" customWidth="1"/>
    <col min="12" max="12" width="7.375" style="1" customWidth="1"/>
    <col min="13" max="13" width="7.75" style="1" hidden="1" customWidth="1" outlineLevel="1"/>
    <col min="14" max="14" width="15.625" style="1" hidden="1" customWidth="1" outlineLevel="1"/>
    <col min="15" max="15" width="10.375" style="1" hidden="1" customWidth="1" outlineLevel="1"/>
    <col min="16" max="16" width="18.75" style="1" hidden="1" customWidth="1" outlineLevel="1"/>
    <col min="17" max="17" width="18.25" style="1" hidden="1" customWidth="1" outlineLevel="1"/>
    <col min="18" max="18" width="12.375" style="1" hidden="1" customWidth="1" outlineLevel="1"/>
    <col min="19" max="19" width="9" style="1" customWidth="1" collapsed="1"/>
    <col min="20" max="20" width="10.875" style="1" customWidth="1"/>
    <col min="21" max="22" width="9" style="1" customWidth="1"/>
    <col min="23" max="23" width="18.375" style="1" customWidth="1"/>
    <col min="24" max="16384" width="9" style="1"/>
  </cols>
  <sheetData>
    <row r="2" spans="1:18" ht="73.5" customHeight="1">
      <c r="B2" s="92" t="s">
        <v>48</v>
      </c>
      <c r="C2" s="93"/>
      <c r="D2" s="93"/>
      <c r="E2" s="93"/>
      <c r="F2" s="93"/>
      <c r="G2" s="93"/>
      <c r="H2" s="93"/>
      <c r="I2" s="94"/>
      <c r="J2" s="44"/>
      <c r="K2" s="3"/>
      <c r="M2" s="2" t="s">
        <v>0</v>
      </c>
      <c r="Q2" s="3"/>
    </row>
    <row r="3" spans="1:18" ht="51" customHeight="1" thickBot="1">
      <c r="B3" s="45"/>
      <c r="C3" s="46" t="s">
        <v>49</v>
      </c>
      <c r="D3" s="46"/>
      <c r="E3" s="46"/>
      <c r="F3" s="46"/>
      <c r="G3" s="46"/>
      <c r="H3" s="46"/>
      <c r="I3" s="47"/>
      <c r="J3" s="4"/>
      <c r="K3" s="5"/>
      <c r="L3" s="5"/>
    </row>
    <row r="4" spans="1:18" ht="24.95" customHeight="1" thickTop="1">
      <c r="B4" s="45"/>
      <c r="C4" s="48" t="s">
        <v>1</v>
      </c>
      <c r="D4" s="49" t="s">
        <v>2</v>
      </c>
      <c r="E4" s="50" t="s">
        <v>50</v>
      </c>
      <c r="F4" s="50"/>
      <c r="G4" s="51"/>
      <c r="H4" s="51"/>
      <c r="I4" s="52"/>
      <c r="J4" s="5"/>
      <c r="K4" s="5"/>
      <c r="L4" s="5"/>
      <c r="M4" s="6" t="s">
        <v>3</v>
      </c>
      <c r="O4" s="7"/>
      <c r="P4" s="3"/>
      <c r="Q4" s="3"/>
      <c r="R4" s="3"/>
    </row>
    <row r="5" spans="1:18" ht="24.75" customHeight="1" thickBot="1">
      <c r="B5" s="45"/>
      <c r="C5" s="53" t="s">
        <v>4</v>
      </c>
      <c r="D5" s="54">
        <v>50</v>
      </c>
      <c r="E5" s="50" t="s">
        <v>51</v>
      </c>
      <c r="F5" s="50"/>
      <c r="G5" s="55"/>
      <c r="H5" s="55"/>
      <c r="I5" s="52"/>
      <c r="J5" s="5"/>
      <c r="K5" s="5"/>
      <c r="L5" s="5"/>
      <c r="M5" s="98" t="s">
        <v>1</v>
      </c>
      <c r="N5" s="100" t="s">
        <v>5</v>
      </c>
      <c r="O5" s="8"/>
      <c r="P5" s="3"/>
    </row>
    <row r="6" spans="1:18" ht="102" customHeight="1" thickTop="1" thickBot="1">
      <c r="B6" s="45"/>
      <c r="C6" s="56"/>
      <c r="D6" s="57"/>
      <c r="E6" s="102"/>
      <c r="F6" s="102"/>
      <c r="G6" s="102"/>
      <c r="H6" s="58"/>
      <c r="I6" s="59"/>
      <c r="J6" s="5"/>
      <c r="K6" s="5"/>
      <c r="L6" s="5"/>
      <c r="M6" s="99"/>
      <c r="N6" s="101"/>
      <c r="O6" s="9"/>
      <c r="P6" s="3" t="s">
        <v>44</v>
      </c>
    </row>
    <row r="7" spans="1:18" ht="31.5" customHeight="1">
      <c r="B7" s="45"/>
      <c r="C7" s="56"/>
      <c r="D7" s="58"/>
      <c r="E7" s="60" t="s">
        <v>52</v>
      </c>
      <c r="F7" s="60"/>
      <c r="G7" s="60"/>
      <c r="H7" s="58"/>
      <c r="I7" s="59"/>
      <c r="J7" s="5"/>
      <c r="K7" s="5"/>
      <c r="L7" s="5"/>
      <c r="M7" s="10" t="s">
        <v>2</v>
      </c>
      <c r="N7" s="11">
        <v>1380</v>
      </c>
      <c r="O7" s="9"/>
      <c r="P7" s="91" t="s">
        <v>45</v>
      </c>
      <c r="Q7" s="87" t="s">
        <v>46</v>
      </c>
    </row>
    <row r="8" spans="1:18" ht="30" customHeight="1" thickBot="1">
      <c r="B8" s="45"/>
      <c r="C8" s="56"/>
      <c r="D8" s="61"/>
      <c r="E8" s="62"/>
      <c r="F8" s="63" t="s">
        <v>53</v>
      </c>
      <c r="G8" s="64"/>
      <c r="H8" s="58"/>
      <c r="I8" s="59"/>
      <c r="J8" s="5"/>
      <c r="K8" s="5"/>
      <c r="L8" s="5"/>
      <c r="M8" s="10" t="s">
        <v>6</v>
      </c>
      <c r="N8" s="11">
        <v>7280</v>
      </c>
      <c r="O8" s="9"/>
      <c r="P8" s="88"/>
      <c r="Q8" s="89" t="s">
        <v>43</v>
      </c>
    </row>
    <row r="9" spans="1:18" ht="32.25" customHeight="1" thickBot="1">
      <c r="B9" s="65"/>
      <c r="C9" s="56" t="s">
        <v>47</v>
      </c>
      <c r="D9" s="66" t="s">
        <v>7</v>
      </c>
      <c r="E9" s="67" t="s">
        <v>8</v>
      </c>
      <c r="F9" s="90" t="str">
        <f>IF($D$4=M7,P7,"")</f>
        <v>(2)-1 令和8年4月から
　　　令和8年9月まで</v>
      </c>
      <c r="G9" s="66" t="str">
        <f>IF($D$4=M7,Q7,IF($D$4=M8,Q8,IF($D$4=M9,Q8,IF($D$4=M10,Q8,IF($D$4=M11,Q8,IF($D$4=M12,Q8,IF($D$4=M13,Q8,IF($D$4=M14,Q8,""))))))))</f>
        <v>(2)-2 令和8年10月から
　　　令和10年3月まで</v>
      </c>
      <c r="H9" s="68" t="s">
        <v>9</v>
      </c>
      <c r="I9" s="52"/>
      <c r="J9" s="5"/>
      <c r="K9" s="5"/>
      <c r="L9" s="5"/>
      <c r="M9" s="10" t="s">
        <v>10</v>
      </c>
      <c r="N9" s="11">
        <v>13260</v>
      </c>
      <c r="O9" s="9"/>
    </row>
    <row r="10" spans="1:18" ht="30" customHeight="1" thickTop="1" thickBot="1">
      <c r="B10" s="65"/>
      <c r="C10" s="69" t="s">
        <v>11</v>
      </c>
      <c r="D10" s="70">
        <f>ROUNDDOWN((R31*1.1),0)</f>
        <v>6985</v>
      </c>
      <c r="E10" s="71">
        <f>ROUNDDOWN((R70*1.1),0)</f>
        <v>7491</v>
      </c>
      <c r="F10" s="72">
        <f>IF($D$4=M7,ROUNDDOWN((R109*1.1),0),"→→→→→→→")</f>
        <v>5973</v>
      </c>
      <c r="G10" s="71">
        <f>ROUNDDOWN((R148*1.1),0)</f>
        <v>7711</v>
      </c>
      <c r="H10" s="73">
        <f>ROUNDDOWN((R187*1.1),0)</f>
        <v>7931</v>
      </c>
      <c r="I10" s="74" t="s">
        <v>12</v>
      </c>
      <c r="J10" s="5"/>
      <c r="K10" s="5"/>
      <c r="L10" s="5"/>
      <c r="M10" s="10" t="s">
        <v>13</v>
      </c>
      <c r="N10" s="11">
        <v>26520</v>
      </c>
      <c r="O10" s="9"/>
    </row>
    <row r="11" spans="1:18" ht="30" customHeight="1" thickTop="1" thickBot="1">
      <c r="B11" s="65"/>
      <c r="C11" s="75" t="s">
        <v>14</v>
      </c>
      <c r="D11" s="76">
        <f>ROUNDDOWN((R40*1.1),0)</f>
        <v>5790</v>
      </c>
      <c r="E11" s="76">
        <f>ROUNDDOWN((R79*1.1),0)</f>
        <v>5790</v>
      </c>
      <c r="F11" s="103">
        <f>IF($D$4=M7,ROUNDDOWN((R118*1.1),0),"→→→→→→→→→")</f>
        <v>5790</v>
      </c>
      <c r="G11" s="76">
        <f>ROUNDDOWN((R157*1.1),0)</f>
        <v>5790</v>
      </c>
      <c r="H11" s="76">
        <f>ROUNDDOWN((R196*1.1),0)</f>
        <v>5790</v>
      </c>
      <c r="I11" s="74" t="s">
        <v>12</v>
      </c>
      <c r="J11" s="5"/>
      <c r="K11" s="5"/>
      <c r="L11" s="5"/>
      <c r="M11" s="10" t="s">
        <v>15</v>
      </c>
      <c r="N11" s="11">
        <v>61100</v>
      </c>
      <c r="O11" s="9"/>
    </row>
    <row r="12" spans="1:18" ht="39.75" customHeight="1" thickTop="1" thickBot="1">
      <c r="B12" s="45"/>
      <c r="C12" s="77" t="s">
        <v>16</v>
      </c>
      <c r="D12" s="78">
        <f>SUM(D10:D11)</f>
        <v>12775</v>
      </c>
      <c r="E12" s="79">
        <f t="shared" ref="E12:H12" si="0">SUM(E10:E11)</f>
        <v>13281</v>
      </c>
      <c r="F12" s="80">
        <f>IF($D$4=M7,SUM(F10:F11),"→→→→→→→")</f>
        <v>11763</v>
      </c>
      <c r="G12" s="79">
        <f t="shared" si="0"/>
        <v>13501</v>
      </c>
      <c r="H12" s="81">
        <f t="shared" si="0"/>
        <v>13721</v>
      </c>
      <c r="I12" s="74" t="s">
        <v>12</v>
      </c>
      <c r="J12" s="5"/>
      <c r="K12" s="5"/>
      <c r="L12" s="5"/>
      <c r="M12" s="10" t="s">
        <v>17</v>
      </c>
      <c r="N12" s="11">
        <v>119600</v>
      </c>
      <c r="O12" s="9"/>
    </row>
    <row r="13" spans="1:18" ht="19.5" thickTop="1">
      <c r="B13" s="45"/>
      <c r="C13" s="82"/>
      <c r="D13" s="82"/>
      <c r="E13" s="82"/>
      <c r="F13" s="82"/>
      <c r="G13" s="82"/>
      <c r="H13" s="82"/>
      <c r="I13" s="52"/>
      <c r="J13" s="5"/>
      <c r="K13" s="5"/>
      <c r="L13" s="5"/>
      <c r="M13" s="10" t="s">
        <v>18</v>
      </c>
      <c r="N13" s="11">
        <v>324220</v>
      </c>
      <c r="O13" s="9"/>
    </row>
    <row r="14" spans="1:18" ht="19.5" thickBot="1">
      <c r="B14" s="83"/>
      <c r="C14" s="84"/>
      <c r="D14" s="84"/>
      <c r="E14" s="84"/>
      <c r="F14" s="85"/>
      <c r="G14" s="84"/>
      <c r="H14" s="84"/>
      <c r="I14" s="86"/>
      <c r="J14" s="3"/>
      <c r="K14" s="5"/>
      <c r="L14" s="5"/>
      <c r="M14" s="10" t="s">
        <v>19</v>
      </c>
      <c r="N14" s="11">
        <v>626600</v>
      </c>
      <c r="O14" s="9"/>
    </row>
    <row r="15" spans="1:18" ht="19.5" thickTop="1">
      <c r="A15" s="3"/>
      <c r="B15" s="3"/>
      <c r="C15" s="3"/>
      <c r="D15" s="3"/>
      <c r="E15" s="3"/>
      <c r="F15" s="3"/>
      <c r="G15" s="3"/>
      <c r="H15" s="3"/>
      <c r="I15" s="3"/>
      <c r="J15" s="12"/>
      <c r="K15" s="5"/>
      <c r="L15" s="5"/>
      <c r="N15" s="13"/>
      <c r="O15" s="13"/>
    </row>
    <row r="16" spans="1:18">
      <c r="A16" s="3"/>
      <c r="B16" s="3"/>
      <c r="C16" s="3"/>
      <c r="D16" s="3"/>
      <c r="E16" s="3"/>
      <c r="F16" s="3"/>
      <c r="G16" s="3"/>
      <c r="H16" s="3"/>
      <c r="I16" s="3"/>
      <c r="J16" s="5"/>
      <c r="K16" s="5"/>
      <c r="L16" s="5"/>
      <c r="M16" s="10"/>
      <c r="N16" s="14" t="s">
        <v>20</v>
      </c>
      <c r="O16" s="15"/>
      <c r="P16" s="16"/>
      <c r="Q16" s="17">
        <v>0</v>
      </c>
      <c r="R16" s="18">
        <f>VLOOKUP(D4,M7:N14,2,FALSE)</f>
        <v>1380</v>
      </c>
    </row>
    <row r="17" spans="1:18">
      <c r="A17" s="3"/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95" t="s">
        <v>21</v>
      </c>
      <c r="N17" s="19" t="s">
        <v>22</v>
      </c>
      <c r="O17" s="10" t="s">
        <v>23</v>
      </c>
      <c r="P17" s="20">
        <v>10</v>
      </c>
      <c r="Q17" s="21">
        <f>IF($D$4="13,20,25㎜(一般家庭用)",IF($D$5&gt;=12,12,$D$5),0)</f>
        <v>12</v>
      </c>
      <c r="R17" s="20">
        <f>P17*Q17</f>
        <v>120</v>
      </c>
    </row>
    <row r="18" spans="1:18" ht="18.75" customHeight="1">
      <c r="A18" s="3"/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96"/>
      <c r="N18" s="22"/>
      <c r="O18" s="10" t="s">
        <v>24</v>
      </c>
      <c r="P18" s="20">
        <v>25</v>
      </c>
      <c r="Q18" s="21">
        <f>IF($D$4="13,20,25㎜(一般家庭用)",IF($D$5&lt;=12,0,IF($D$5&gt;=20,8,$D$5-12)),0)</f>
        <v>8</v>
      </c>
      <c r="R18" s="20">
        <f>P18*Q18</f>
        <v>200</v>
      </c>
    </row>
    <row r="19" spans="1:18" ht="18.75" customHeight="1">
      <c r="A19" s="3"/>
      <c r="B19" s="3"/>
      <c r="C19" s="3"/>
      <c r="D19" s="3"/>
      <c r="E19" s="3"/>
      <c r="F19" s="3"/>
      <c r="G19" s="3"/>
      <c r="H19" s="3"/>
      <c r="I19" s="3"/>
      <c r="J19" s="5"/>
      <c r="K19" s="5"/>
      <c r="L19" s="5"/>
      <c r="M19" s="96"/>
      <c r="N19" s="22"/>
      <c r="O19" s="10" t="s">
        <v>25</v>
      </c>
      <c r="P19" s="20">
        <v>135</v>
      </c>
      <c r="Q19" s="21">
        <f>IF($D$4="13,20,25㎜(一般家庭用)",IF($D$5&lt;=20,0,IF($D$5&gt;=40,20,$D$5-20)),0)</f>
        <v>20</v>
      </c>
      <c r="R19" s="20">
        <f>P19*Q19</f>
        <v>2700</v>
      </c>
    </row>
    <row r="20" spans="1:18" ht="18.75" customHeight="1">
      <c r="A20" s="3"/>
      <c r="B20" s="3"/>
      <c r="C20" s="3"/>
      <c r="D20" s="3"/>
      <c r="E20" s="3"/>
      <c r="F20" s="3"/>
      <c r="G20" s="3"/>
      <c r="H20" s="3"/>
      <c r="I20" s="3"/>
      <c r="J20" s="5"/>
      <c r="K20" s="5"/>
      <c r="L20" s="5"/>
      <c r="M20" s="96"/>
      <c r="N20" s="22"/>
      <c r="O20" s="10" t="s">
        <v>26</v>
      </c>
      <c r="P20" s="20">
        <v>195</v>
      </c>
      <c r="Q20" s="21">
        <f>IF($D$4="13,20,25㎜(一般家庭用)",IF($D$5&lt;=40,0,IF($D$5&gt;=60,20,$D$5-40)),0)</f>
        <v>10</v>
      </c>
      <c r="R20" s="20">
        <f>P20*Q20</f>
        <v>1950</v>
      </c>
    </row>
    <row r="21" spans="1:18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96"/>
      <c r="N21" s="22"/>
      <c r="O21" s="10" t="s">
        <v>27</v>
      </c>
      <c r="P21" s="20">
        <v>215</v>
      </c>
      <c r="Q21" s="21">
        <f>IF($D$4="13,20,25㎜(一般家庭用)",IF($D$5&lt;=60,0,IF($D$5&gt;=100,40,$D$5-60)),0)</f>
        <v>0</v>
      </c>
      <c r="R21" s="20">
        <f t="shared" ref="R21:R30" si="1">P21*Q21</f>
        <v>0</v>
      </c>
    </row>
    <row r="22" spans="1:18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96"/>
      <c r="N22" s="22"/>
      <c r="O22" s="10" t="s">
        <v>28</v>
      </c>
      <c r="P22" s="20">
        <v>270</v>
      </c>
      <c r="Q22" s="21">
        <f>IF($D$4="13,20,25㎜(一般家庭用)",IF($D$5&lt;=100,0,IF($D$5&gt;=600,500,$D$5-100)),0)</f>
        <v>0</v>
      </c>
      <c r="R22" s="20">
        <f t="shared" si="1"/>
        <v>0</v>
      </c>
    </row>
    <row r="23" spans="1:18" ht="18.75" customHeight="1">
      <c r="J23" s="3"/>
      <c r="K23" s="3"/>
      <c r="L23" s="3"/>
      <c r="M23" s="96"/>
      <c r="N23" s="23"/>
      <c r="O23" s="24" t="s">
        <v>29</v>
      </c>
      <c r="P23" s="20">
        <v>320</v>
      </c>
      <c r="Q23" s="21">
        <f>IF($D$4="13,20,25㎜(一般家庭用)",IF($D$5&lt;=600,0,IF($D$5&gt;=2000,1400,$D$5-600)),0)</f>
        <v>0</v>
      </c>
      <c r="R23" s="20">
        <f t="shared" si="1"/>
        <v>0</v>
      </c>
    </row>
    <row r="24" spans="1:18" ht="18.75" customHeight="1">
      <c r="C24" s="25"/>
      <c r="D24" s="26"/>
      <c r="E24" s="26"/>
      <c r="F24" s="26"/>
      <c r="G24" s="26"/>
      <c r="H24" s="26"/>
      <c r="K24" s="3"/>
      <c r="L24" s="3"/>
      <c r="M24" s="96"/>
      <c r="N24" s="27"/>
      <c r="O24" s="28" t="s">
        <v>30</v>
      </c>
      <c r="P24" s="20">
        <v>340</v>
      </c>
      <c r="Q24" s="21">
        <f>IF($D$4="13,20,25㎜(一般家庭用)",IF($D$5&gt;=2001,$D$5-2000,0),0)</f>
        <v>0</v>
      </c>
      <c r="R24" s="20">
        <f t="shared" si="1"/>
        <v>0</v>
      </c>
    </row>
    <row r="25" spans="1:18" ht="18.75" customHeight="1">
      <c r="C25" s="25"/>
      <c r="D25" s="26"/>
      <c r="E25" s="26"/>
      <c r="F25" s="26"/>
      <c r="G25" s="26"/>
      <c r="H25" s="26"/>
      <c r="K25" s="3"/>
      <c r="L25" s="3"/>
      <c r="M25" s="96"/>
      <c r="N25" s="29" t="s">
        <v>31</v>
      </c>
      <c r="O25" s="10" t="s">
        <v>32</v>
      </c>
      <c r="P25" s="20">
        <v>135</v>
      </c>
      <c r="Q25" s="21">
        <f>IF($D$4="13,20,25㎜(一般家庭用)",0,IF($D$5&gt;=40,40,$D$5))</f>
        <v>0</v>
      </c>
      <c r="R25" s="20">
        <f>P25*Q25</f>
        <v>0</v>
      </c>
    </row>
    <row r="26" spans="1:18" ht="18.75" customHeight="1">
      <c r="C26" s="25"/>
      <c r="D26" s="26"/>
      <c r="E26" s="26"/>
      <c r="F26" s="26"/>
      <c r="G26" s="26"/>
      <c r="H26" s="26"/>
      <c r="K26" s="3"/>
      <c r="L26" s="3"/>
      <c r="M26" s="96"/>
      <c r="N26" s="30"/>
      <c r="O26" s="10" t="s">
        <v>26</v>
      </c>
      <c r="P26" s="20">
        <v>195</v>
      </c>
      <c r="Q26" s="21">
        <f>IF($D$4="13,20,25㎜(一般家庭用)",0,IF($D$5&lt;=40,0,IF($D$5&gt;=60,20,$D$5-40)))</f>
        <v>0</v>
      </c>
      <c r="R26" s="20">
        <f t="shared" si="1"/>
        <v>0</v>
      </c>
    </row>
    <row r="27" spans="1:18" ht="18.75" customHeight="1">
      <c r="C27" s="25"/>
      <c r="D27" s="26"/>
      <c r="E27" s="26"/>
      <c r="F27" s="26"/>
      <c r="G27" s="26"/>
      <c r="H27" s="26"/>
      <c r="K27" s="3"/>
      <c r="L27" s="3"/>
      <c r="M27" s="96"/>
      <c r="N27" s="30"/>
      <c r="O27" s="10" t="s">
        <v>27</v>
      </c>
      <c r="P27" s="20">
        <v>215</v>
      </c>
      <c r="Q27" s="21">
        <f>IF($D$4="13,20,25㎜(一般家庭用)",0,IF($D$5&lt;=60,0,IF($D$5&gt;=100,40,$D$5-60)))</f>
        <v>0</v>
      </c>
      <c r="R27" s="20">
        <f t="shared" si="1"/>
        <v>0</v>
      </c>
    </row>
    <row r="28" spans="1:18" ht="18.75" customHeight="1">
      <c r="B28" s="5"/>
      <c r="C28" s="5"/>
      <c r="D28" s="5"/>
      <c r="E28" s="5"/>
      <c r="F28" s="5"/>
      <c r="G28" s="5"/>
      <c r="H28" s="5"/>
      <c r="I28" s="5"/>
      <c r="K28" s="3"/>
      <c r="L28" s="3"/>
      <c r="M28" s="96"/>
      <c r="N28" s="30"/>
      <c r="O28" s="10" t="s">
        <v>28</v>
      </c>
      <c r="P28" s="20">
        <v>270</v>
      </c>
      <c r="Q28" s="21">
        <f>IF($D$4="13,20,25㎜(一般家庭用)",0,IF($D$5&lt;=100,0,IF($D$5&gt;=600,500,$D$5-100)))</f>
        <v>0</v>
      </c>
      <c r="R28" s="20">
        <f t="shared" si="1"/>
        <v>0</v>
      </c>
    </row>
    <row r="29" spans="1:18" ht="18.75" customHeight="1">
      <c r="B29" s="31"/>
      <c r="C29" s="5"/>
      <c r="D29" s="26"/>
      <c r="E29" s="26"/>
      <c r="F29" s="26"/>
      <c r="G29" s="26"/>
      <c r="H29" s="26"/>
      <c r="I29" s="32"/>
      <c r="K29" s="3"/>
      <c r="L29" s="3"/>
      <c r="M29" s="96"/>
      <c r="N29" s="30"/>
      <c r="O29" s="28" t="s">
        <v>29</v>
      </c>
      <c r="P29" s="20">
        <v>320</v>
      </c>
      <c r="Q29" s="21">
        <f>IF($D$4="13,20,25㎜(一般家庭用)",0,IF($D$5&lt;=600,0,IF($D$5&gt;=2000,1400,$D$5-600)))</f>
        <v>0</v>
      </c>
      <c r="R29" s="20">
        <f t="shared" si="1"/>
        <v>0</v>
      </c>
    </row>
    <row r="30" spans="1:18" ht="18.75" customHeight="1" thickBot="1">
      <c r="B30" s="31"/>
      <c r="C30" s="5"/>
      <c r="D30" s="26"/>
      <c r="E30" s="26"/>
      <c r="F30" s="26"/>
      <c r="G30" s="26"/>
      <c r="H30" s="26"/>
      <c r="I30" s="32"/>
      <c r="K30" s="3"/>
      <c r="L30" s="3"/>
      <c r="M30" s="97"/>
      <c r="N30" s="33"/>
      <c r="O30" s="34" t="s">
        <v>30</v>
      </c>
      <c r="P30" s="20">
        <v>340</v>
      </c>
      <c r="Q30" s="21">
        <f>IF($D$4="13,20,25㎜(一般家庭用)",0,IF($D$5&gt;=2001,$D$5-2000,0))</f>
        <v>0</v>
      </c>
      <c r="R30" s="20">
        <f t="shared" si="1"/>
        <v>0</v>
      </c>
    </row>
    <row r="31" spans="1:18" ht="18.75" customHeight="1" thickBot="1">
      <c r="B31" s="31"/>
      <c r="C31" s="5"/>
      <c r="D31" s="26"/>
      <c r="E31" s="26"/>
      <c r="F31" s="26"/>
      <c r="G31" s="26"/>
      <c r="H31" s="26"/>
      <c r="I31" s="32"/>
      <c r="K31" s="3"/>
      <c r="L31" s="3"/>
      <c r="Q31" s="25" t="s">
        <v>33</v>
      </c>
      <c r="R31" s="35">
        <f>SUM(R16:R30)</f>
        <v>6350</v>
      </c>
    </row>
    <row r="32" spans="1:18" ht="18.75" customHeight="1">
      <c r="C32" s="25"/>
      <c r="D32" s="26"/>
      <c r="E32" s="26"/>
      <c r="F32" s="26"/>
      <c r="G32" s="26"/>
      <c r="H32" s="26"/>
      <c r="K32" s="3"/>
      <c r="L32" s="3"/>
      <c r="N32" s="13"/>
      <c r="O32" s="13"/>
    </row>
    <row r="33" spans="2:19" ht="18.75" customHeight="1">
      <c r="C33" s="25"/>
      <c r="D33" s="26"/>
      <c r="E33" s="26"/>
      <c r="F33" s="26"/>
      <c r="G33" s="26"/>
      <c r="H33" s="26"/>
      <c r="K33" s="3"/>
      <c r="L33" s="3"/>
      <c r="M33" s="6" t="s">
        <v>34</v>
      </c>
    </row>
    <row r="34" spans="2:19" ht="18.75" customHeight="1">
      <c r="C34" s="25"/>
      <c r="D34" s="26"/>
      <c r="E34" s="26"/>
      <c r="F34" s="26"/>
      <c r="G34" s="26"/>
      <c r="H34" s="26"/>
      <c r="K34" s="3"/>
      <c r="L34" s="3"/>
      <c r="N34" s="36" t="s">
        <v>20</v>
      </c>
      <c r="O34" s="10" t="s">
        <v>35</v>
      </c>
      <c r="P34" s="20">
        <v>1534</v>
      </c>
      <c r="Q34" s="21">
        <v>20</v>
      </c>
      <c r="R34" s="20">
        <v>1534</v>
      </c>
    </row>
    <row r="35" spans="2:19" ht="18.75" customHeight="1">
      <c r="N35" s="37" t="s">
        <v>21</v>
      </c>
      <c r="O35" s="10" t="s">
        <v>25</v>
      </c>
      <c r="P35" s="20">
        <v>102</v>
      </c>
      <c r="Q35" s="21">
        <f>IF($D$5&lt;=20,0,IF($D$5&lt;=40,$D$5-20,40-20))</f>
        <v>20</v>
      </c>
      <c r="R35" s="20">
        <f>P35*Q35</f>
        <v>2040</v>
      </c>
    </row>
    <row r="36" spans="2:19" ht="18.75" customHeight="1">
      <c r="J36" s="38"/>
      <c r="N36" s="30"/>
      <c r="O36" s="10" t="s">
        <v>36</v>
      </c>
      <c r="P36" s="20">
        <v>169</v>
      </c>
      <c r="Q36" s="21">
        <f>IF($D$5&lt;=40,0,IF($D$5&lt;=100,$D$5-40,60))</f>
        <v>10</v>
      </c>
      <c r="R36" s="20">
        <f t="shared" ref="R36:R39" si="2">P36*Q36</f>
        <v>1690</v>
      </c>
    </row>
    <row r="37" spans="2:19" ht="18.75" customHeight="1">
      <c r="I37" s="39"/>
      <c r="J37" s="5"/>
      <c r="K37" s="5"/>
      <c r="L37" s="5"/>
      <c r="N37" s="40"/>
      <c r="O37" s="10" t="s">
        <v>28</v>
      </c>
      <c r="P37" s="20">
        <v>198</v>
      </c>
      <c r="Q37" s="21">
        <f>IF($D$5&lt;=100,0,IF($D$5&lt;=600,$D$5-100,500))</f>
        <v>0</v>
      </c>
      <c r="R37" s="20">
        <f t="shared" si="2"/>
        <v>0</v>
      </c>
      <c r="S37" s="5"/>
    </row>
    <row r="38" spans="2:19" ht="18.75" customHeight="1">
      <c r="I38" s="3"/>
      <c r="J38" s="5"/>
      <c r="K38" s="5"/>
      <c r="L38" s="5"/>
      <c r="N38" s="40"/>
      <c r="O38" s="10" t="s">
        <v>29</v>
      </c>
      <c r="P38" s="20">
        <v>239</v>
      </c>
      <c r="Q38" s="21">
        <f>IF($D$5&lt;=600,0,IF($D$5&lt;=2000,$D$5-600,1400))</f>
        <v>0</v>
      </c>
      <c r="R38" s="20">
        <f t="shared" si="2"/>
        <v>0</v>
      </c>
      <c r="S38" s="5"/>
    </row>
    <row r="39" spans="2:19" ht="18.75" customHeight="1" thickBot="1">
      <c r="I39" s="3"/>
      <c r="J39" s="5"/>
      <c r="K39" s="5"/>
      <c r="L39" s="5"/>
      <c r="N39" s="33"/>
      <c r="O39" s="10" t="s">
        <v>37</v>
      </c>
      <c r="P39" s="20">
        <v>274</v>
      </c>
      <c r="Q39" s="21">
        <f>IF($D$5&lt;=2000,0,$D$5-2000)</f>
        <v>0</v>
      </c>
      <c r="R39" s="20">
        <f t="shared" si="2"/>
        <v>0</v>
      </c>
      <c r="S39" s="5"/>
    </row>
    <row r="40" spans="2:19" ht="18.75" customHeight="1" thickBot="1">
      <c r="J40" s="5"/>
      <c r="K40" s="5"/>
      <c r="L40" s="5"/>
      <c r="Q40" s="41" t="s">
        <v>38</v>
      </c>
      <c r="R40" s="35">
        <f>SUM(R34:R39)</f>
        <v>5264</v>
      </c>
      <c r="S40" s="5"/>
    </row>
    <row r="41" spans="2:19" ht="18.75" customHeight="1">
      <c r="J41" s="5"/>
      <c r="K41" s="5"/>
      <c r="L41" s="5"/>
      <c r="S41" s="5"/>
    </row>
    <row r="42" spans="2:19" ht="18.75" customHeight="1">
      <c r="J42" s="5"/>
      <c r="K42" s="5"/>
      <c r="L42" s="5"/>
      <c r="M42" s="2" t="s">
        <v>39</v>
      </c>
      <c r="S42" s="5"/>
    </row>
    <row r="43" spans="2:19" ht="18.75" customHeight="1">
      <c r="J43" s="5"/>
      <c r="K43" s="5"/>
      <c r="L43" s="5"/>
      <c r="S43" s="5"/>
    </row>
    <row r="44" spans="2:19">
      <c r="J44" s="5"/>
      <c r="K44" s="5"/>
      <c r="L44" s="5"/>
      <c r="M44" s="6" t="s">
        <v>3</v>
      </c>
      <c r="O44" s="7"/>
      <c r="P44" s="3"/>
      <c r="Q44" s="3"/>
      <c r="R44" s="3"/>
      <c r="S44" s="5"/>
    </row>
    <row r="45" spans="2:19">
      <c r="B45" s="39"/>
      <c r="C45" s="39"/>
      <c r="D45" s="39"/>
      <c r="E45" s="39"/>
      <c r="F45" s="39"/>
      <c r="G45" s="39"/>
      <c r="H45" s="39"/>
      <c r="J45" s="5"/>
      <c r="K45" s="5"/>
      <c r="L45" s="5"/>
      <c r="M45" s="42" t="s">
        <v>1</v>
      </c>
      <c r="N45" s="28" t="s">
        <v>5</v>
      </c>
      <c r="O45" s="8"/>
      <c r="P45" s="3"/>
      <c r="S45" s="5"/>
    </row>
    <row r="46" spans="2:19">
      <c r="J46" s="5"/>
      <c r="K46" s="5"/>
      <c r="L46" s="5"/>
      <c r="M46" s="10" t="s">
        <v>2</v>
      </c>
      <c r="N46" s="11">
        <v>1380</v>
      </c>
      <c r="O46" s="9"/>
      <c r="P46" s="3"/>
      <c r="S46" s="5"/>
    </row>
    <row r="47" spans="2:19">
      <c r="J47" s="5"/>
      <c r="K47" s="5"/>
      <c r="L47" s="5"/>
      <c r="M47" s="10" t="s">
        <v>6</v>
      </c>
      <c r="N47" s="11">
        <v>7280</v>
      </c>
      <c r="O47" s="9"/>
      <c r="S47" s="5"/>
    </row>
    <row r="48" spans="2:19">
      <c r="J48" s="5"/>
      <c r="K48" s="5"/>
      <c r="L48" s="5"/>
      <c r="M48" s="10" t="s">
        <v>10</v>
      </c>
      <c r="N48" s="11">
        <v>13260</v>
      </c>
      <c r="O48" s="9"/>
      <c r="S48" s="5"/>
    </row>
    <row r="49" spans="3:19">
      <c r="J49" s="12"/>
      <c r="K49" s="5"/>
      <c r="L49" s="5"/>
      <c r="M49" s="10" t="s">
        <v>13</v>
      </c>
      <c r="N49" s="11">
        <v>26520</v>
      </c>
      <c r="O49" s="9"/>
      <c r="S49" s="5"/>
    </row>
    <row r="50" spans="3:19">
      <c r="C50" s="43"/>
      <c r="J50" s="5"/>
      <c r="K50" s="5"/>
      <c r="L50" s="5"/>
      <c r="M50" s="10" t="s">
        <v>15</v>
      </c>
      <c r="N50" s="11">
        <v>61100</v>
      </c>
      <c r="O50" s="9"/>
      <c r="S50" s="5"/>
    </row>
    <row r="51" spans="3:19">
      <c r="J51" s="5"/>
      <c r="K51" s="5"/>
      <c r="L51" s="5"/>
      <c r="M51" s="10" t="s">
        <v>17</v>
      </c>
      <c r="N51" s="11">
        <v>119600</v>
      </c>
      <c r="O51" s="9"/>
      <c r="S51" s="5"/>
    </row>
    <row r="52" spans="3:19">
      <c r="M52" s="10" t="s">
        <v>18</v>
      </c>
      <c r="N52" s="11">
        <v>324220</v>
      </c>
      <c r="O52" s="9"/>
    </row>
    <row r="53" spans="3:19">
      <c r="M53" s="10" t="s">
        <v>19</v>
      </c>
      <c r="N53" s="11">
        <v>626600</v>
      </c>
      <c r="O53" s="9"/>
    </row>
    <row r="54" spans="3:19">
      <c r="N54" s="13"/>
      <c r="O54" s="13"/>
    </row>
    <row r="55" spans="3:19">
      <c r="M55" s="10"/>
      <c r="N55" s="14" t="s">
        <v>20</v>
      </c>
      <c r="O55" s="15"/>
      <c r="P55" s="16"/>
      <c r="Q55" s="17">
        <v>0</v>
      </c>
      <c r="R55" s="18">
        <f>VLOOKUP(D4,M46:N53,2,FALSE)</f>
        <v>1380</v>
      </c>
    </row>
    <row r="56" spans="3:19">
      <c r="M56" s="95" t="s">
        <v>21</v>
      </c>
      <c r="N56" s="19" t="s">
        <v>22</v>
      </c>
      <c r="O56" s="10" t="s">
        <v>23</v>
      </c>
      <c r="P56" s="20">
        <v>25</v>
      </c>
      <c r="Q56" s="21">
        <f>IF($D$4="13,20,25㎜(一般家庭用)",IF($D$5&gt;=12,12,$D$5),0)</f>
        <v>12</v>
      </c>
      <c r="R56" s="20">
        <f>P56*Q56</f>
        <v>300</v>
      </c>
    </row>
    <row r="57" spans="3:19">
      <c r="M57" s="96"/>
      <c r="N57" s="22"/>
      <c r="O57" s="10" t="s">
        <v>24</v>
      </c>
      <c r="P57" s="20">
        <v>35</v>
      </c>
      <c r="Q57" s="21">
        <f>IF($D$4="13,20,25㎜(一般家庭用)",IF($D$5&lt;=12,0,IF($D$5&gt;=20,8,$D$5-12)),0)</f>
        <v>8</v>
      </c>
      <c r="R57" s="20">
        <f>P57*Q57</f>
        <v>280</v>
      </c>
    </row>
    <row r="58" spans="3:19">
      <c r="M58" s="96"/>
      <c r="N58" s="22"/>
      <c r="O58" s="10" t="s">
        <v>25</v>
      </c>
      <c r="P58" s="20">
        <v>140</v>
      </c>
      <c r="Q58" s="21">
        <f>IF($D$4="13,20,25㎜(一般家庭用)",IF($D$5&lt;=20,0,IF($D$5&gt;=40,20,$D$5-20)),0)</f>
        <v>20</v>
      </c>
      <c r="R58" s="20">
        <f>P58*Q58</f>
        <v>2800</v>
      </c>
    </row>
    <row r="59" spans="3:19">
      <c r="M59" s="96"/>
      <c r="N59" s="22"/>
      <c r="O59" s="10" t="s">
        <v>26</v>
      </c>
      <c r="P59" s="20">
        <v>205</v>
      </c>
      <c r="Q59" s="21">
        <f>IF($D$4="13,20,25㎜(一般家庭用)",IF($D$5&lt;=40,0,IF($D$5&gt;=60,20,$D$5-40)),0)</f>
        <v>10</v>
      </c>
      <c r="R59" s="20">
        <f>P59*Q59</f>
        <v>2050</v>
      </c>
    </row>
    <row r="60" spans="3:19">
      <c r="M60" s="96"/>
      <c r="N60" s="22"/>
      <c r="O60" s="10" t="s">
        <v>27</v>
      </c>
      <c r="P60" s="20">
        <v>225</v>
      </c>
      <c r="Q60" s="21">
        <f>IF($D$4="13,20,25㎜(一般家庭用)",IF($D$5&lt;=60,0,IF($D$5&gt;=100,40,$D$5-60)),0)</f>
        <v>0</v>
      </c>
      <c r="R60" s="20">
        <f t="shared" ref="R60:R69" si="3">P60*Q60</f>
        <v>0</v>
      </c>
    </row>
    <row r="61" spans="3:19">
      <c r="M61" s="96"/>
      <c r="N61" s="22"/>
      <c r="O61" s="10" t="s">
        <v>28</v>
      </c>
      <c r="P61" s="20">
        <v>280</v>
      </c>
      <c r="Q61" s="21">
        <f>IF($D$4="13,20,25㎜(一般家庭用)",IF($D$5&lt;=100,0,IF($D$5&gt;=600,500,$D$5-100)),0)</f>
        <v>0</v>
      </c>
      <c r="R61" s="20">
        <f t="shared" si="3"/>
        <v>0</v>
      </c>
    </row>
    <row r="62" spans="3:19">
      <c r="M62" s="96"/>
      <c r="N62" s="23"/>
      <c r="O62" s="24" t="s">
        <v>29</v>
      </c>
      <c r="P62" s="20">
        <v>330</v>
      </c>
      <c r="Q62" s="21">
        <f>IF($D$4="13,20,25㎜(一般家庭用)",IF($D$5&lt;=600,0,IF($D$5&gt;=2000,1400,$D$5-600)),0)</f>
        <v>0</v>
      </c>
      <c r="R62" s="20">
        <f t="shared" si="3"/>
        <v>0</v>
      </c>
    </row>
    <row r="63" spans="3:19">
      <c r="M63" s="96"/>
      <c r="N63" s="27"/>
      <c r="O63" s="28" t="s">
        <v>30</v>
      </c>
      <c r="P63" s="20">
        <v>350</v>
      </c>
      <c r="Q63" s="21">
        <f>IF($D$4="13,20,25㎜(一般家庭用)",IF($D$5&gt;=2001,$D$5-2000,0),0)</f>
        <v>0</v>
      </c>
      <c r="R63" s="20">
        <f t="shared" si="3"/>
        <v>0</v>
      </c>
    </row>
    <row r="64" spans="3:19">
      <c r="M64" s="96"/>
      <c r="N64" s="29" t="s">
        <v>31</v>
      </c>
      <c r="O64" s="10" t="s">
        <v>32</v>
      </c>
      <c r="P64" s="20">
        <v>140</v>
      </c>
      <c r="Q64" s="21">
        <f>IF($D$4="13,20,25㎜(一般家庭用)",0,IF($D$5&gt;=40,40,$D$5))</f>
        <v>0</v>
      </c>
      <c r="R64" s="20">
        <f t="shared" si="3"/>
        <v>0</v>
      </c>
    </row>
    <row r="65" spans="13:18">
      <c r="M65" s="96"/>
      <c r="N65" s="30"/>
      <c r="O65" s="10" t="s">
        <v>26</v>
      </c>
      <c r="P65" s="20">
        <v>205</v>
      </c>
      <c r="Q65" s="21">
        <f>IF($D$4="13,20,25㎜(一般家庭用)",0,IF($D$5&lt;=40,0,IF($D$5&gt;=60,20,$D$5-40)))</f>
        <v>0</v>
      </c>
      <c r="R65" s="20">
        <f t="shared" si="3"/>
        <v>0</v>
      </c>
    </row>
    <row r="66" spans="13:18">
      <c r="M66" s="96"/>
      <c r="N66" s="30"/>
      <c r="O66" s="10" t="s">
        <v>27</v>
      </c>
      <c r="P66" s="20">
        <v>225</v>
      </c>
      <c r="Q66" s="21">
        <f>IF($D$4="13,20,25㎜(一般家庭用)",0,IF($D$5&lt;=60,0,IF($D$5&gt;=100,40,$D$5-60)))</f>
        <v>0</v>
      </c>
      <c r="R66" s="20">
        <f t="shared" si="3"/>
        <v>0</v>
      </c>
    </row>
    <row r="67" spans="13:18">
      <c r="M67" s="96"/>
      <c r="N67" s="30"/>
      <c r="O67" s="10" t="s">
        <v>28</v>
      </c>
      <c r="P67" s="20">
        <v>280</v>
      </c>
      <c r="Q67" s="21">
        <f>IF($D$4="13,20,25㎜(一般家庭用)",0,IF($D$5&lt;=100,0,IF($D$5&gt;=600,500,$D$5-100)))</f>
        <v>0</v>
      </c>
      <c r="R67" s="20">
        <f t="shared" si="3"/>
        <v>0</v>
      </c>
    </row>
    <row r="68" spans="13:18">
      <c r="M68" s="96"/>
      <c r="N68" s="30"/>
      <c r="O68" s="28" t="s">
        <v>29</v>
      </c>
      <c r="P68" s="20">
        <v>330</v>
      </c>
      <c r="Q68" s="21">
        <f>IF($D$4="13,20,25㎜(一般家庭用)",0,IF($D$5&lt;=600,0,IF($D$5&gt;=2000,1400,$D$5-600)))</f>
        <v>0</v>
      </c>
      <c r="R68" s="20">
        <f t="shared" si="3"/>
        <v>0</v>
      </c>
    </row>
    <row r="69" spans="13:18" ht="19.5" thickBot="1">
      <c r="M69" s="97"/>
      <c r="N69" s="33"/>
      <c r="O69" s="34" t="s">
        <v>30</v>
      </c>
      <c r="P69" s="20">
        <v>350</v>
      </c>
      <c r="Q69" s="21">
        <f>IF($D$4="13,20,25㎜(一般家庭用)",0,IF($D$5&gt;=2001,$D$5-2000,0))</f>
        <v>0</v>
      </c>
      <c r="R69" s="20">
        <f t="shared" si="3"/>
        <v>0</v>
      </c>
    </row>
    <row r="70" spans="13:18" ht="19.5" thickBot="1">
      <c r="Q70" s="25" t="s">
        <v>33</v>
      </c>
      <c r="R70" s="35">
        <f>SUM(R55:R69)</f>
        <v>6810</v>
      </c>
    </row>
    <row r="71" spans="13:18">
      <c r="N71" s="13"/>
      <c r="O71" s="13"/>
    </row>
    <row r="72" spans="13:18">
      <c r="M72" s="6" t="s">
        <v>34</v>
      </c>
    </row>
    <row r="73" spans="13:18">
      <c r="N73" s="36" t="s">
        <v>20</v>
      </c>
      <c r="O73" s="10" t="s">
        <v>35</v>
      </c>
      <c r="P73" s="20">
        <v>1534</v>
      </c>
      <c r="Q73" s="21">
        <v>20</v>
      </c>
      <c r="R73" s="20">
        <v>1534</v>
      </c>
    </row>
    <row r="74" spans="13:18">
      <c r="N74" s="37" t="s">
        <v>21</v>
      </c>
      <c r="O74" s="10" t="s">
        <v>25</v>
      </c>
      <c r="P74" s="20">
        <v>102</v>
      </c>
      <c r="Q74" s="21">
        <f>IF($D$5&lt;=20,0,IF($D$5&lt;=40,$D$5-20,40-20))</f>
        <v>20</v>
      </c>
      <c r="R74" s="20">
        <f t="shared" ref="R74:R78" si="4">P74*Q74</f>
        <v>2040</v>
      </c>
    </row>
    <row r="75" spans="13:18">
      <c r="N75" s="30"/>
      <c r="O75" s="10" t="s">
        <v>36</v>
      </c>
      <c r="P75" s="20">
        <v>169</v>
      </c>
      <c r="Q75" s="21">
        <f>IF($D$5&lt;=40,0,IF($D$5&lt;=100,$D$5-40,60))</f>
        <v>10</v>
      </c>
      <c r="R75" s="20">
        <f t="shared" si="4"/>
        <v>1690</v>
      </c>
    </row>
    <row r="76" spans="13:18">
      <c r="N76" s="40"/>
      <c r="O76" s="10" t="s">
        <v>28</v>
      </c>
      <c r="P76" s="20">
        <v>198</v>
      </c>
      <c r="Q76" s="21">
        <f>IF($D$5&lt;=100,0,IF($D$5&lt;=600,$D$5-100,500))</f>
        <v>0</v>
      </c>
      <c r="R76" s="20">
        <f t="shared" si="4"/>
        <v>0</v>
      </c>
    </row>
    <row r="77" spans="13:18">
      <c r="N77" s="40"/>
      <c r="O77" s="10" t="s">
        <v>29</v>
      </c>
      <c r="P77" s="20">
        <v>239</v>
      </c>
      <c r="Q77" s="21">
        <f>IF($D$5&lt;=600,0,IF($D$5&lt;=2000,$D$5-600,1400))</f>
        <v>0</v>
      </c>
      <c r="R77" s="20">
        <f t="shared" si="4"/>
        <v>0</v>
      </c>
    </row>
    <row r="78" spans="13:18" ht="19.5" thickBot="1">
      <c r="N78" s="33"/>
      <c r="O78" s="10" t="s">
        <v>37</v>
      </c>
      <c r="P78" s="20">
        <v>274</v>
      </c>
      <c r="Q78" s="21">
        <f>IF($D$5&lt;=2000,0,$D$5-2000)</f>
        <v>0</v>
      </c>
      <c r="R78" s="20">
        <f t="shared" si="4"/>
        <v>0</v>
      </c>
    </row>
    <row r="79" spans="13:18" ht="19.5" thickBot="1">
      <c r="Q79" s="41" t="s">
        <v>38</v>
      </c>
      <c r="R79" s="35">
        <f>SUM(R73:R78)</f>
        <v>5264</v>
      </c>
    </row>
    <row r="81" spans="13:18" ht="24">
      <c r="M81" s="2" t="s">
        <v>40</v>
      </c>
    </row>
    <row r="83" spans="13:18">
      <c r="M83" s="6" t="s">
        <v>3</v>
      </c>
      <c r="O83" s="7"/>
      <c r="P83" s="3"/>
      <c r="Q83" s="3"/>
      <c r="R83" s="3"/>
    </row>
    <row r="84" spans="13:18">
      <c r="M84" s="42" t="s">
        <v>1</v>
      </c>
      <c r="N84" s="28" t="s">
        <v>5</v>
      </c>
      <c r="O84" s="8"/>
      <c r="P84" s="3"/>
    </row>
    <row r="85" spans="13:18">
      <c r="M85" s="10" t="s">
        <v>2</v>
      </c>
      <c r="N85" s="11">
        <v>0</v>
      </c>
      <c r="O85" s="9"/>
      <c r="P85" s="3"/>
    </row>
    <row r="86" spans="13:18">
      <c r="M86" s="10" t="s">
        <v>6</v>
      </c>
      <c r="N86" s="11">
        <v>7780</v>
      </c>
      <c r="O86" s="9"/>
    </row>
    <row r="87" spans="13:18">
      <c r="M87" s="10" t="s">
        <v>10</v>
      </c>
      <c r="N87" s="11">
        <v>13860</v>
      </c>
      <c r="O87" s="9"/>
    </row>
    <row r="88" spans="13:18">
      <c r="M88" s="10" t="s">
        <v>13</v>
      </c>
      <c r="N88" s="11">
        <v>27220</v>
      </c>
      <c r="O88" s="9"/>
    </row>
    <row r="89" spans="13:18">
      <c r="M89" s="10" t="s">
        <v>15</v>
      </c>
      <c r="N89" s="11">
        <v>61900</v>
      </c>
      <c r="O89" s="9"/>
    </row>
    <row r="90" spans="13:18">
      <c r="M90" s="10" t="s">
        <v>17</v>
      </c>
      <c r="N90" s="11">
        <v>120700</v>
      </c>
      <c r="O90" s="9"/>
    </row>
    <row r="91" spans="13:18">
      <c r="M91" s="10" t="s">
        <v>18</v>
      </c>
      <c r="N91" s="11">
        <v>325520</v>
      </c>
      <c r="O91" s="9"/>
    </row>
    <row r="92" spans="13:18">
      <c r="M92" s="10" t="s">
        <v>19</v>
      </c>
      <c r="N92" s="11">
        <v>628100</v>
      </c>
      <c r="O92" s="9"/>
    </row>
    <row r="93" spans="13:18">
      <c r="N93" s="13"/>
      <c r="O93" s="13"/>
    </row>
    <row r="94" spans="13:18">
      <c r="M94" s="10"/>
      <c r="N94" s="14" t="s">
        <v>20</v>
      </c>
      <c r="O94" s="15"/>
      <c r="P94" s="16"/>
      <c r="Q94" s="17">
        <v>0</v>
      </c>
      <c r="R94" s="18">
        <f>VLOOKUP(D4,M85:N92,2,FALSE)</f>
        <v>0</v>
      </c>
    </row>
    <row r="95" spans="13:18">
      <c r="M95" s="95" t="s">
        <v>21</v>
      </c>
      <c r="N95" s="19" t="s">
        <v>22</v>
      </c>
      <c r="O95" s="10" t="s">
        <v>23</v>
      </c>
      <c r="P95" s="20">
        <v>25</v>
      </c>
      <c r="Q95" s="21">
        <f>IF($D$4="13,20,25㎜(一般家庭用)",IF($D$5&gt;=12,12,$D$5),0)</f>
        <v>12</v>
      </c>
      <c r="R95" s="20">
        <f>P95*Q95</f>
        <v>300</v>
      </c>
    </row>
    <row r="96" spans="13:18">
      <c r="M96" s="96"/>
      <c r="N96" s="22"/>
      <c r="O96" s="10" t="s">
        <v>24</v>
      </c>
      <c r="P96" s="20">
        <v>35</v>
      </c>
      <c r="Q96" s="21">
        <f>IF($D$4="13,20,25㎜(一般家庭用)",IF($D$5&lt;=12,0,IF($D$5&gt;=20,8,$D$5-12)),0)</f>
        <v>8</v>
      </c>
      <c r="R96" s="20">
        <f>P96*Q96</f>
        <v>280</v>
      </c>
    </row>
    <row r="97" spans="13:18">
      <c r="M97" s="96"/>
      <c r="N97" s="22"/>
      <c r="O97" s="10" t="s">
        <v>25</v>
      </c>
      <c r="P97" s="20">
        <v>140</v>
      </c>
      <c r="Q97" s="21">
        <f>IF($D$4="13,20,25㎜(一般家庭用)",IF($D$5&lt;=20,0,IF($D$5&gt;=40,20,$D$5-20)),0)</f>
        <v>20</v>
      </c>
      <c r="R97" s="20">
        <f>P97*Q97</f>
        <v>2800</v>
      </c>
    </row>
    <row r="98" spans="13:18">
      <c r="M98" s="96"/>
      <c r="N98" s="22"/>
      <c r="O98" s="10" t="s">
        <v>26</v>
      </c>
      <c r="P98" s="20">
        <v>205</v>
      </c>
      <c r="Q98" s="21">
        <f>IF($D$4="13,20,25㎜(一般家庭用)",IF($D$5&lt;=40,0,IF($D$5&gt;=60,20,$D$5-40)),0)</f>
        <v>10</v>
      </c>
      <c r="R98" s="20">
        <f>P98*Q98</f>
        <v>2050</v>
      </c>
    </row>
    <row r="99" spans="13:18">
      <c r="M99" s="96"/>
      <c r="N99" s="22"/>
      <c r="O99" s="10" t="s">
        <v>27</v>
      </c>
      <c r="P99" s="20">
        <v>225</v>
      </c>
      <c r="Q99" s="21">
        <f>IF($D$4="13,20,25㎜(一般家庭用)",IF($D$5&lt;=60,0,IF($D$5&gt;=100,40,$D$5-60)),0)</f>
        <v>0</v>
      </c>
      <c r="R99" s="20">
        <f t="shared" ref="R99:R108" si="5">P99*Q99</f>
        <v>0</v>
      </c>
    </row>
    <row r="100" spans="13:18">
      <c r="M100" s="96"/>
      <c r="N100" s="22"/>
      <c r="O100" s="10" t="s">
        <v>28</v>
      </c>
      <c r="P100" s="20">
        <v>280</v>
      </c>
      <c r="Q100" s="21">
        <f>IF($D$4="13,20,25㎜(一般家庭用)",IF($D$5&lt;=100,0,IF($D$5&gt;=600,500,$D$5-100)),0)</f>
        <v>0</v>
      </c>
      <c r="R100" s="20">
        <f t="shared" si="5"/>
        <v>0</v>
      </c>
    </row>
    <row r="101" spans="13:18">
      <c r="M101" s="96"/>
      <c r="N101" s="23"/>
      <c r="O101" s="24" t="s">
        <v>29</v>
      </c>
      <c r="P101" s="20">
        <v>330</v>
      </c>
      <c r="Q101" s="21">
        <f>IF($D$4="13,20,25㎜(一般家庭用)",IF($D$5&lt;=600,0,IF($D$5&gt;=2000,1400,$D$5-600)),0)</f>
        <v>0</v>
      </c>
      <c r="R101" s="20">
        <f t="shared" si="5"/>
        <v>0</v>
      </c>
    </row>
    <row r="102" spans="13:18">
      <c r="M102" s="96"/>
      <c r="N102" s="27"/>
      <c r="O102" s="28" t="s">
        <v>30</v>
      </c>
      <c r="P102" s="20">
        <v>350</v>
      </c>
      <c r="Q102" s="21">
        <f>IF($D$4="13,20,25㎜(一般家庭用)",IF($D$5&gt;=2001,$D$5-2000,0),0)</f>
        <v>0</v>
      </c>
      <c r="R102" s="20">
        <f t="shared" si="5"/>
        <v>0</v>
      </c>
    </row>
    <row r="103" spans="13:18">
      <c r="M103" s="96"/>
      <c r="N103" s="29" t="s">
        <v>31</v>
      </c>
      <c r="O103" s="10" t="s">
        <v>32</v>
      </c>
      <c r="P103" s="20">
        <v>140</v>
      </c>
      <c r="Q103" s="21">
        <f>IF($D$4="13,20,25㎜(一般家庭用)",0,IF($D$5&gt;=40,40,$D$5))</f>
        <v>0</v>
      </c>
      <c r="R103" s="20">
        <f t="shared" si="5"/>
        <v>0</v>
      </c>
    </row>
    <row r="104" spans="13:18">
      <c r="M104" s="96"/>
      <c r="N104" s="30"/>
      <c r="O104" s="10" t="s">
        <v>26</v>
      </c>
      <c r="P104" s="20">
        <v>205</v>
      </c>
      <c r="Q104" s="21">
        <f>IF($D$4="13,20,25㎜(一般家庭用)",0,IF($D$5&lt;=40,0,IF($D$5&gt;=60,20,$D$5-40)))</f>
        <v>0</v>
      </c>
      <c r="R104" s="20">
        <f t="shared" si="5"/>
        <v>0</v>
      </c>
    </row>
    <row r="105" spans="13:18">
      <c r="M105" s="96"/>
      <c r="N105" s="30"/>
      <c r="O105" s="10" t="s">
        <v>27</v>
      </c>
      <c r="P105" s="20">
        <v>225</v>
      </c>
      <c r="Q105" s="21">
        <f>IF($D$4="13,20,25㎜(一般家庭用)",0,IF($D$5&lt;=60,0,IF($D$5&gt;=100,40,$D$5-60)))</f>
        <v>0</v>
      </c>
      <c r="R105" s="20">
        <f t="shared" si="5"/>
        <v>0</v>
      </c>
    </row>
    <row r="106" spans="13:18">
      <c r="M106" s="96"/>
      <c r="N106" s="30"/>
      <c r="O106" s="10" t="s">
        <v>28</v>
      </c>
      <c r="P106" s="20">
        <v>280</v>
      </c>
      <c r="Q106" s="21">
        <f>IF($D$4="13,20,25㎜(一般家庭用)",0,IF($D$5&lt;=100,0,IF($D$5&gt;=600,500,$D$5-100)))</f>
        <v>0</v>
      </c>
      <c r="R106" s="20">
        <f t="shared" si="5"/>
        <v>0</v>
      </c>
    </row>
    <row r="107" spans="13:18">
      <c r="M107" s="96"/>
      <c r="N107" s="30"/>
      <c r="O107" s="28" t="s">
        <v>29</v>
      </c>
      <c r="P107" s="20">
        <v>330</v>
      </c>
      <c r="Q107" s="21">
        <f>IF($D$4="13,20,25㎜(一般家庭用)",0,IF($D$5&lt;=600,0,IF($D$5&gt;=2000,1400,$D$5-600)))</f>
        <v>0</v>
      </c>
      <c r="R107" s="20">
        <f t="shared" si="5"/>
        <v>0</v>
      </c>
    </row>
    <row r="108" spans="13:18" ht="19.5" thickBot="1">
      <c r="M108" s="97"/>
      <c r="N108" s="33"/>
      <c r="O108" s="34" t="s">
        <v>30</v>
      </c>
      <c r="P108" s="20">
        <v>350</v>
      </c>
      <c r="Q108" s="21">
        <f>IF($D$4="13,20,25㎜(一般家庭用)",0,IF($D$5&gt;=2001,$D$5-2000,0))</f>
        <v>0</v>
      </c>
      <c r="R108" s="20">
        <f t="shared" si="5"/>
        <v>0</v>
      </c>
    </row>
    <row r="109" spans="13:18" ht="19.5" thickBot="1">
      <c r="Q109" s="25" t="s">
        <v>33</v>
      </c>
      <c r="R109" s="35">
        <f>SUM(R94:R108)</f>
        <v>5430</v>
      </c>
    </row>
    <row r="110" spans="13:18">
      <c r="N110" s="13"/>
      <c r="O110" s="13"/>
    </row>
    <row r="111" spans="13:18">
      <c r="M111" s="6" t="s">
        <v>34</v>
      </c>
    </row>
    <row r="112" spans="13:18">
      <c r="N112" s="36" t="s">
        <v>20</v>
      </c>
      <c r="O112" s="10" t="s">
        <v>35</v>
      </c>
      <c r="P112" s="20">
        <v>1534</v>
      </c>
      <c r="Q112" s="21">
        <v>20</v>
      </c>
      <c r="R112" s="20">
        <v>1534</v>
      </c>
    </row>
    <row r="113" spans="13:18">
      <c r="N113" s="37" t="s">
        <v>21</v>
      </c>
      <c r="O113" s="10" t="s">
        <v>25</v>
      </c>
      <c r="P113" s="20">
        <v>102</v>
      </c>
      <c r="Q113" s="21">
        <f>IF($D$5&lt;=20,0,IF($D$5&lt;=40,$D$5-20,40-20))</f>
        <v>20</v>
      </c>
      <c r="R113" s="20">
        <f>P113*Q113</f>
        <v>2040</v>
      </c>
    </row>
    <row r="114" spans="13:18">
      <c r="N114" s="30"/>
      <c r="O114" s="10" t="s">
        <v>36</v>
      </c>
      <c r="P114" s="20">
        <v>169</v>
      </c>
      <c r="Q114" s="21">
        <f>IF($D$5&lt;=40,0,IF($D$5&lt;=100,$D$5-40,60))</f>
        <v>10</v>
      </c>
      <c r="R114" s="20">
        <f t="shared" ref="R114:R117" si="6">P114*Q114</f>
        <v>1690</v>
      </c>
    </row>
    <row r="115" spans="13:18">
      <c r="N115" s="40"/>
      <c r="O115" s="10" t="s">
        <v>28</v>
      </c>
      <c r="P115" s="20">
        <v>198</v>
      </c>
      <c r="Q115" s="21">
        <f>IF($D$5&lt;=100,0,IF($D$5&lt;=600,$D$5-100,500))</f>
        <v>0</v>
      </c>
      <c r="R115" s="20">
        <f t="shared" si="6"/>
        <v>0</v>
      </c>
    </row>
    <row r="116" spans="13:18">
      <c r="N116" s="40"/>
      <c r="O116" s="10" t="s">
        <v>29</v>
      </c>
      <c r="P116" s="20">
        <v>239</v>
      </c>
      <c r="Q116" s="21">
        <f>IF($D$5&lt;=600,0,IF($D$5&lt;=2000,$D$5-600,1400))</f>
        <v>0</v>
      </c>
      <c r="R116" s="20">
        <f t="shared" si="6"/>
        <v>0</v>
      </c>
    </row>
    <row r="117" spans="13:18" ht="19.5" thickBot="1">
      <c r="N117" s="33"/>
      <c r="O117" s="10" t="s">
        <v>37</v>
      </c>
      <c r="P117" s="20">
        <v>274</v>
      </c>
      <c r="Q117" s="21">
        <f>IF($D$5&lt;=2000,0,$D$5-2000)</f>
        <v>0</v>
      </c>
      <c r="R117" s="20">
        <f t="shared" si="6"/>
        <v>0</v>
      </c>
    </row>
    <row r="118" spans="13:18" ht="19.5" thickBot="1">
      <c r="Q118" s="41" t="s">
        <v>38</v>
      </c>
      <c r="R118" s="35">
        <f>SUM(R112:R117)</f>
        <v>5264</v>
      </c>
    </row>
    <row r="120" spans="13:18" ht="24">
      <c r="M120" s="2" t="s">
        <v>41</v>
      </c>
    </row>
    <row r="122" spans="13:18">
      <c r="M122" s="6" t="s">
        <v>3</v>
      </c>
      <c r="O122" s="7"/>
      <c r="P122" s="3"/>
      <c r="Q122" s="3"/>
      <c r="R122" s="3"/>
    </row>
    <row r="123" spans="13:18">
      <c r="M123" s="42" t="s">
        <v>1</v>
      </c>
      <c r="N123" s="28" t="s">
        <v>5</v>
      </c>
      <c r="O123" s="8"/>
      <c r="P123" s="3"/>
    </row>
    <row r="124" spans="13:18">
      <c r="M124" s="10" t="s">
        <v>2</v>
      </c>
      <c r="N124" s="11">
        <v>1580</v>
      </c>
      <c r="O124" s="9"/>
      <c r="P124" s="3"/>
    </row>
    <row r="125" spans="13:18">
      <c r="M125" s="10" t="s">
        <v>6</v>
      </c>
      <c r="N125" s="11">
        <v>7780</v>
      </c>
      <c r="O125" s="9"/>
    </row>
    <row r="126" spans="13:18">
      <c r="M126" s="10" t="s">
        <v>10</v>
      </c>
      <c r="N126" s="11">
        <v>13860</v>
      </c>
      <c r="O126" s="9"/>
    </row>
    <row r="127" spans="13:18">
      <c r="M127" s="10" t="s">
        <v>13</v>
      </c>
      <c r="N127" s="11">
        <v>27220</v>
      </c>
      <c r="O127" s="9"/>
    </row>
    <row r="128" spans="13:18">
      <c r="M128" s="10" t="s">
        <v>15</v>
      </c>
      <c r="N128" s="11">
        <v>61900</v>
      </c>
      <c r="O128" s="9"/>
    </row>
    <row r="129" spans="13:18">
      <c r="M129" s="10" t="s">
        <v>17</v>
      </c>
      <c r="N129" s="11">
        <v>120700</v>
      </c>
      <c r="O129" s="9"/>
    </row>
    <row r="130" spans="13:18">
      <c r="M130" s="10" t="s">
        <v>18</v>
      </c>
      <c r="N130" s="11">
        <v>325520</v>
      </c>
      <c r="O130" s="9"/>
    </row>
    <row r="131" spans="13:18">
      <c r="M131" s="10" t="s">
        <v>19</v>
      </c>
      <c r="N131" s="11">
        <v>628100</v>
      </c>
      <c r="O131" s="9"/>
    </row>
    <row r="132" spans="13:18">
      <c r="N132" s="13"/>
      <c r="O132" s="13"/>
    </row>
    <row r="133" spans="13:18">
      <c r="M133" s="10"/>
      <c r="N133" s="14" t="s">
        <v>20</v>
      </c>
      <c r="O133" s="15"/>
      <c r="P133" s="16"/>
      <c r="Q133" s="17">
        <v>0</v>
      </c>
      <c r="R133" s="18">
        <f>VLOOKUP(D4,M124:N131,2,FALSE)</f>
        <v>1580</v>
      </c>
    </row>
    <row r="134" spans="13:18">
      <c r="M134" s="95" t="s">
        <v>21</v>
      </c>
      <c r="N134" s="19" t="s">
        <v>22</v>
      </c>
      <c r="O134" s="10" t="s">
        <v>23</v>
      </c>
      <c r="P134" s="20">
        <v>25</v>
      </c>
      <c r="Q134" s="21">
        <f>IF($D$4="13,20,25㎜(一般家庭用)",IF($D$5&gt;=12,12,$D$5),0)</f>
        <v>12</v>
      </c>
      <c r="R134" s="20">
        <f>P134*Q134</f>
        <v>300</v>
      </c>
    </row>
    <row r="135" spans="13:18">
      <c r="M135" s="96"/>
      <c r="N135" s="22"/>
      <c r="O135" s="10" t="s">
        <v>24</v>
      </c>
      <c r="P135" s="20">
        <v>35</v>
      </c>
      <c r="Q135" s="21">
        <f>IF($D$4="13,20,25㎜(一般家庭用)",IF($D$5&lt;=12,0,IF($D$5&gt;=20,8,$D$5-12)),0)</f>
        <v>8</v>
      </c>
      <c r="R135" s="20">
        <f>P135*Q135</f>
        <v>280</v>
      </c>
    </row>
    <row r="136" spans="13:18">
      <c r="M136" s="96"/>
      <c r="N136" s="22"/>
      <c r="O136" s="10" t="s">
        <v>25</v>
      </c>
      <c r="P136" s="20">
        <v>140</v>
      </c>
      <c r="Q136" s="21">
        <f>IF($D$4="13,20,25㎜(一般家庭用)",IF($D$5&lt;=20,0,IF($D$5&gt;=40,20,$D$5-20)),0)</f>
        <v>20</v>
      </c>
      <c r="R136" s="20">
        <f>P136*Q136</f>
        <v>2800</v>
      </c>
    </row>
    <row r="137" spans="13:18">
      <c r="M137" s="96"/>
      <c r="N137" s="22"/>
      <c r="O137" s="10" t="s">
        <v>26</v>
      </c>
      <c r="P137" s="20">
        <v>205</v>
      </c>
      <c r="Q137" s="21">
        <f>IF($D$4="13,20,25㎜(一般家庭用)",IF($D$5&lt;=40,0,IF($D$5&gt;=60,20,$D$5-40)),0)</f>
        <v>10</v>
      </c>
      <c r="R137" s="20">
        <f>P137*Q137</f>
        <v>2050</v>
      </c>
    </row>
    <row r="138" spans="13:18">
      <c r="M138" s="96"/>
      <c r="N138" s="22"/>
      <c r="O138" s="10" t="s">
        <v>27</v>
      </c>
      <c r="P138" s="20">
        <v>225</v>
      </c>
      <c r="Q138" s="21">
        <f>IF($D$4="13,20,25㎜(一般家庭用)",IF($D$5&lt;=60,0,IF($D$5&gt;=100,40,$D$5-60)),0)</f>
        <v>0</v>
      </c>
      <c r="R138" s="20">
        <f t="shared" ref="R138:R147" si="7">P138*Q138</f>
        <v>0</v>
      </c>
    </row>
    <row r="139" spans="13:18">
      <c r="M139" s="96"/>
      <c r="N139" s="22"/>
      <c r="O139" s="10" t="s">
        <v>28</v>
      </c>
      <c r="P139" s="20">
        <v>280</v>
      </c>
      <c r="Q139" s="21">
        <f>IF($D$4="13,20,25㎜(一般家庭用)",IF($D$5&lt;=100,0,IF($D$5&gt;=600,500,$D$5-100)),0)</f>
        <v>0</v>
      </c>
      <c r="R139" s="20">
        <f t="shared" si="7"/>
        <v>0</v>
      </c>
    </row>
    <row r="140" spans="13:18">
      <c r="M140" s="96"/>
      <c r="N140" s="23"/>
      <c r="O140" s="24" t="s">
        <v>29</v>
      </c>
      <c r="P140" s="20">
        <v>330</v>
      </c>
      <c r="Q140" s="21">
        <f>IF($D$4="13,20,25㎜(一般家庭用)",IF($D$5&lt;=600,0,IF($D$5&gt;=2000,1400,$D$5-600)),0)</f>
        <v>0</v>
      </c>
      <c r="R140" s="20">
        <f t="shared" si="7"/>
        <v>0</v>
      </c>
    </row>
    <row r="141" spans="13:18">
      <c r="M141" s="96"/>
      <c r="N141" s="27"/>
      <c r="O141" s="28" t="s">
        <v>30</v>
      </c>
      <c r="P141" s="20">
        <v>350</v>
      </c>
      <c r="Q141" s="21">
        <f>IF($D$4="13,20,25㎜(一般家庭用)",IF($D$5&gt;=2001,$D$5-2000,0),0)</f>
        <v>0</v>
      </c>
      <c r="R141" s="20">
        <f t="shared" si="7"/>
        <v>0</v>
      </c>
    </row>
    <row r="142" spans="13:18">
      <c r="M142" s="96"/>
      <c r="N142" s="29" t="s">
        <v>31</v>
      </c>
      <c r="O142" s="10" t="s">
        <v>32</v>
      </c>
      <c r="P142" s="20">
        <v>140</v>
      </c>
      <c r="Q142" s="21">
        <f>IF($D$4="13,20,25㎜(一般家庭用)",0,IF($D$5&gt;=40,40,$D$5))</f>
        <v>0</v>
      </c>
      <c r="R142" s="20">
        <f t="shared" si="7"/>
        <v>0</v>
      </c>
    </row>
    <row r="143" spans="13:18">
      <c r="M143" s="96"/>
      <c r="N143" s="30"/>
      <c r="O143" s="10" t="s">
        <v>26</v>
      </c>
      <c r="P143" s="20">
        <v>205</v>
      </c>
      <c r="Q143" s="21">
        <f>IF($D$4="13,20,25㎜(一般家庭用)",0,IF($D$5&lt;=40,0,IF($D$5&gt;=60,20,$D$5-40)))</f>
        <v>0</v>
      </c>
      <c r="R143" s="20">
        <f t="shared" si="7"/>
        <v>0</v>
      </c>
    </row>
    <row r="144" spans="13:18">
      <c r="M144" s="96"/>
      <c r="N144" s="30"/>
      <c r="O144" s="10" t="s">
        <v>27</v>
      </c>
      <c r="P144" s="20">
        <v>225</v>
      </c>
      <c r="Q144" s="21">
        <f>IF($D$4="13,20,25㎜(一般家庭用)",0,IF($D$5&lt;=60,0,IF($D$5&gt;=100,40,$D$5-60)))</f>
        <v>0</v>
      </c>
      <c r="R144" s="20">
        <f t="shared" si="7"/>
        <v>0</v>
      </c>
    </row>
    <row r="145" spans="13:18">
      <c r="M145" s="96"/>
      <c r="N145" s="30"/>
      <c r="O145" s="10" t="s">
        <v>28</v>
      </c>
      <c r="P145" s="20">
        <v>280</v>
      </c>
      <c r="Q145" s="21">
        <f>IF($D$4="13,20,25㎜(一般家庭用)",0,IF($D$5&lt;=100,0,IF($D$5&gt;=600,500,$D$5-100)))</f>
        <v>0</v>
      </c>
      <c r="R145" s="20">
        <f t="shared" si="7"/>
        <v>0</v>
      </c>
    </row>
    <row r="146" spans="13:18">
      <c r="M146" s="96"/>
      <c r="N146" s="30"/>
      <c r="O146" s="28" t="s">
        <v>29</v>
      </c>
      <c r="P146" s="20">
        <v>330</v>
      </c>
      <c r="Q146" s="21">
        <f>IF($D$4="13,20,25㎜(一般家庭用)",0,IF($D$5&lt;=600,0,IF($D$5&gt;=2000,1400,$D$5-600)))</f>
        <v>0</v>
      </c>
      <c r="R146" s="20">
        <f t="shared" si="7"/>
        <v>0</v>
      </c>
    </row>
    <row r="147" spans="13:18" ht="19.5" thickBot="1">
      <c r="M147" s="97"/>
      <c r="N147" s="33"/>
      <c r="O147" s="34" t="s">
        <v>30</v>
      </c>
      <c r="P147" s="20">
        <v>350</v>
      </c>
      <c r="Q147" s="21">
        <f>IF($D$4="13,20,25㎜(一般家庭用)",0,IF($D$5&gt;=2001,$D$5-2000,0))</f>
        <v>0</v>
      </c>
      <c r="R147" s="20">
        <f t="shared" si="7"/>
        <v>0</v>
      </c>
    </row>
    <row r="148" spans="13:18" ht="19.5" thickBot="1">
      <c r="Q148" s="25" t="s">
        <v>33</v>
      </c>
      <c r="R148" s="35">
        <f>SUM(R133:R147)</f>
        <v>7010</v>
      </c>
    </row>
    <row r="149" spans="13:18">
      <c r="N149" s="13"/>
      <c r="O149" s="13"/>
    </row>
    <row r="150" spans="13:18">
      <c r="M150" s="6" t="s">
        <v>34</v>
      </c>
    </row>
    <row r="151" spans="13:18">
      <c r="N151" s="36" t="s">
        <v>20</v>
      </c>
      <c r="O151" s="10" t="s">
        <v>35</v>
      </c>
      <c r="P151" s="20">
        <v>1534</v>
      </c>
      <c r="Q151" s="21">
        <v>20</v>
      </c>
      <c r="R151" s="20">
        <v>1534</v>
      </c>
    </row>
    <row r="152" spans="13:18">
      <c r="N152" s="37" t="s">
        <v>21</v>
      </c>
      <c r="O152" s="10" t="s">
        <v>25</v>
      </c>
      <c r="P152" s="20">
        <v>102</v>
      </c>
      <c r="Q152" s="21">
        <f>IF($D$5&lt;=20,0,IF($D$5&lt;=40,$D$5-20,40-20))</f>
        <v>20</v>
      </c>
      <c r="R152" s="20">
        <f>P152*Q152</f>
        <v>2040</v>
      </c>
    </row>
    <row r="153" spans="13:18">
      <c r="N153" s="30"/>
      <c r="O153" s="10" t="s">
        <v>36</v>
      </c>
      <c r="P153" s="20">
        <v>169</v>
      </c>
      <c r="Q153" s="21">
        <f>IF($D$5&lt;=40,0,IF($D$5&lt;=100,$D$5-40,60))</f>
        <v>10</v>
      </c>
      <c r="R153" s="20">
        <f t="shared" ref="R153:R156" si="8">P153*Q153</f>
        <v>1690</v>
      </c>
    </row>
    <row r="154" spans="13:18">
      <c r="N154" s="40"/>
      <c r="O154" s="10" t="s">
        <v>28</v>
      </c>
      <c r="P154" s="20">
        <v>198</v>
      </c>
      <c r="Q154" s="21">
        <f>IF($D$5&lt;=100,0,IF($D$5&lt;=600,$D$5-100,500))</f>
        <v>0</v>
      </c>
      <c r="R154" s="20">
        <f t="shared" si="8"/>
        <v>0</v>
      </c>
    </row>
    <row r="155" spans="13:18">
      <c r="N155" s="40"/>
      <c r="O155" s="10" t="s">
        <v>29</v>
      </c>
      <c r="P155" s="20">
        <v>239</v>
      </c>
      <c r="Q155" s="21">
        <f>IF($D$5&lt;=600,0,IF($D$5&lt;=2000,$D$5-600,1400))</f>
        <v>0</v>
      </c>
      <c r="R155" s="20">
        <f t="shared" si="8"/>
        <v>0</v>
      </c>
    </row>
    <row r="156" spans="13:18" ht="19.5" thickBot="1">
      <c r="N156" s="33"/>
      <c r="O156" s="10" t="s">
        <v>37</v>
      </c>
      <c r="P156" s="20">
        <v>274</v>
      </c>
      <c r="Q156" s="21">
        <f>IF($D$5&lt;=2000,0,$D$5-2000)</f>
        <v>0</v>
      </c>
      <c r="R156" s="20">
        <f t="shared" si="8"/>
        <v>0</v>
      </c>
    </row>
    <row r="157" spans="13:18" ht="19.5" thickBot="1">
      <c r="Q157" s="41" t="s">
        <v>38</v>
      </c>
      <c r="R157" s="35">
        <f>SUM(R151:R156)</f>
        <v>5264</v>
      </c>
    </row>
    <row r="158" spans="13:18">
      <c r="Q158" s="41"/>
      <c r="R158" s="26"/>
    </row>
    <row r="159" spans="13:18" ht="24">
      <c r="M159" s="2" t="s">
        <v>42</v>
      </c>
    </row>
    <row r="161" spans="13:18">
      <c r="M161" s="6" t="s">
        <v>3</v>
      </c>
      <c r="O161" s="7"/>
      <c r="P161" s="3"/>
      <c r="Q161" s="3"/>
      <c r="R161" s="3"/>
    </row>
    <row r="162" spans="13:18">
      <c r="M162" s="42" t="s">
        <v>1</v>
      </c>
      <c r="N162" s="28" t="s">
        <v>5</v>
      </c>
      <c r="O162" s="8"/>
      <c r="P162" s="3"/>
    </row>
    <row r="163" spans="13:18">
      <c r="M163" s="10" t="s">
        <v>2</v>
      </c>
      <c r="N163" s="11">
        <v>1780</v>
      </c>
      <c r="O163" s="9"/>
      <c r="P163" s="3"/>
    </row>
    <row r="164" spans="13:18">
      <c r="M164" s="10" t="s">
        <v>6</v>
      </c>
      <c r="N164" s="11">
        <v>8280</v>
      </c>
      <c r="O164" s="9"/>
    </row>
    <row r="165" spans="13:18">
      <c r="M165" s="10" t="s">
        <v>10</v>
      </c>
      <c r="N165" s="11">
        <v>14460</v>
      </c>
      <c r="O165" s="9"/>
    </row>
    <row r="166" spans="13:18">
      <c r="M166" s="10" t="s">
        <v>13</v>
      </c>
      <c r="N166" s="11">
        <v>27920</v>
      </c>
      <c r="O166" s="9"/>
    </row>
    <row r="167" spans="13:18">
      <c r="M167" s="10" t="s">
        <v>15</v>
      </c>
      <c r="N167" s="11">
        <v>62700</v>
      </c>
      <c r="O167" s="9"/>
    </row>
    <row r="168" spans="13:18">
      <c r="M168" s="10" t="s">
        <v>17</v>
      </c>
      <c r="N168" s="11">
        <v>121800</v>
      </c>
      <c r="O168" s="9"/>
    </row>
    <row r="169" spans="13:18">
      <c r="M169" s="10" t="s">
        <v>18</v>
      </c>
      <c r="N169" s="11">
        <v>326820</v>
      </c>
      <c r="O169" s="9"/>
    </row>
    <row r="170" spans="13:18">
      <c r="M170" s="10" t="s">
        <v>19</v>
      </c>
      <c r="N170" s="11">
        <v>629600</v>
      </c>
      <c r="O170" s="9"/>
    </row>
    <row r="171" spans="13:18">
      <c r="N171" s="13"/>
      <c r="O171" s="13"/>
    </row>
    <row r="172" spans="13:18">
      <c r="M172" s="10"/>
      <c r="N172" s="14" t="s">
        <v>20</v>
      </c>
      <c r="O172" s="15"/>
      <c r="P172" s="16"/>
      <c r="Q172" s="17">
        <v>0</v>
      </c>
      <c r="R172" s="18">
        <f>VLOOKUP(D4,M163:N170,2,FALSE)</f>
        <v>1780</v>
      </c>
    </row>
    <row r="173" spans="13:18">
      <c r="M173" s="95" t="s">
        <v>21</v>
      </c>
      <c r="N173" s="19" t="s">
        <v>22</v>
      </c>
      <c r="O173" s="10" t="s">
        <v>23</v>
      </c>
      <c r="P173" s="20">
        <v>25</v>
      </c>
      <c r="Q173" s="21">
        <f>IF($D$4="13,20,25㎜(一般家庭用)",IF($D$5&gt;=12,12,$D$5),0)</f>
        <v>12</v>
      </c>
      <c r="R173" s="20">
        <f>P173*Q173</f>
        <v>300</v>
      </c>
    </row>
    <row r="174" spans="13:18">
      <c r="M174" s="96"/>
      <c r="N174" s="22"/>
      <c r="O174" s="10" t="s">
        <v>24</v>
      </c>
      <c r="P174" s="20">
        <v>35</v>
      </c>
      <c r="Q174" s="21">
        <f>IF($D$4="13,20,25㎜(一般家庭用)",IF($D$5&lt;=12,0,IF($D$5&gt;=20,8,$D$5-12)),0)</f>
        <v>8</v>
      </c>
      <c r="R174" s="20">
        <f>P174*Q174</f>
        <v>280</v>
      </c>
    </row>
    <row r="175" spans="13:18">
      <c r="M175" s="96"/>
      <c r="N175" s="22"/>
      <c r="O175" s="10" t="s">
        <v>25</v>
      </c>
      <c r="P175" s="20">
        <v>140</v>
      </c>
      <c r="Q175" s="21">
        <f>IF($D$4="13,20,25㎜(一般家庭用)",IF($D$5&lt;=20,0,IF($D$5&gt;=40,20,$D$5-20)),0)</f>
        <v>20</v>
      </c>
      <c r="R175" s="20">
        <f>P175*Q175</f>
        <v>2800</v>
      </c>
    </row>
    <row r="176" spans="13:18">
      <c r="M176" s="96"/>
      <c r="N176" s="22"/>
      <c r="O176" s="10" t="s">
        <v>26</v>
      </c>
      <c r="P176" s="20">
        <v>205</v>
      </c>
      <c r="Q176" s="21">
        <f>IF($D$4="13,20,25㎜(一般家庭用)",IF($D$5&lt;=40,0,IF($D$5&gt;=60,20,$D$5-40)),0)</f>
        <v>10</v>
      </c>
      <c r="R176" s="20">
        <f>P176*Q176</f>
        <v>2050</v>
      </c>
    </row>
    <row r="177" spans="13:18">
      <c r="M177" s="96"/>
      <c r="N177" s="22"/>
      <c r="O177" s="10" t="s">
        <v>27</v>
      </c>
      <c r="P177" s="20">
        <v>225</v>
      </c>
      <c r="Q177" s="21">
        <f>IF($D$4="13,20,25㎜(一般家庭用)",IF($D$5&lt;=60,0,IF($D$5&gt;=100,40,$D$5-60)),0)</f>
        <v>0</v>
      </c>
      <c r="R177" s="20">
        <f t="shared" ref="R177:R186" si="9">P177*Q177</f>
        <v>0</v>
      </c>
    </row>
    <row r="178" spans="13:18">
      <c r="M178" s="96"/>
      <c r="N178" s="22"/>
      <c r="O178" s="10" t="s">
        <v>28</v>
      </c>
      <c r="P178" s="20">
        <v>280</v>
      </c>
      <c r="Q178" s="21">
        <f>IF($D$4="13,20,25㎜(一般家庭用)",IF($D$5&lt;=100,0,IF($D$5&gt;=600,500,$D$5-100)),0)</f>
        <v>0</v>
      </c>
      <c r="R178" s="20">
        <f t="shared" si="9"/>
        <v>0</v>
      </c>
    </row>
    <row r="179" spans="13:18">
      <c r="M179" s="96"/>
      <c r="N179" s="23"/>
      <c r="O179" s="24" t="s">
        <v>29</v>
      </c>
      <c r="P179" s="20">
        <v>330</v>
      </c>
      <c r="Q179" s="21">
        <f>IF($D$4="13,20,25㎜(一般家庭用)",IF($D$5&lt;=600,0,IF($D$5&gt;=2000,1400,$D$5-600)),0)</f>
        <v>0</v>
      </c>
      <c r="R179" s="20">
        <f t="shared" si="9"/>
        <v>0</v>
      </c>
    </row>
    <row r="180" spans="13:18">
      <c r="M180" s="96"/>
      <c r="N180" s="27"/>
      <c r="O180" s="28" t="s">
        <v>30</v>
      </c>
      <c r="P180" s="20">
        <v>350</v>
      </c>
      <c r="Q180" s="21">
        <f>IF($D$4="13,20,25㎜(一般家庭用)",IF($D$5&gt;=2001,$D$5-2000,0),0)</f>
        <v>0</v>
      </c>
      <c r="R180" s="20">
        <f t="shared" si="9"/>
        <v>0</v>
      </c>
    </row>
    <row r="181" spans="13:18">
      <c r="M181" s="96"/>
      <c r="N181" s="29" t="s">
        <v>31</v>
      </c>
      <c r="O181" s="10" t="s">
        <v>32</v>
      </c>
      <c r="P181" s="20">
        <v>140</v>
      </c>
      <c r="Q181" s="21">
        <f>IF($D$4="13,20,25㎜(一般家庭用)",0,IF($D$5&gt;=40,40,$D$5))</f>
        <v>0</v>
      </c>
      <c r="R181" s="20">
        <f t="shared" si="9"/>
        <v>0</v>
      </c>
    </row>
    <row r="182" spans="13:18">
      <c r="M182" s="96"/>
      <c r="N182" s="30"/>
      <c r="O182" s="10" t="s">
        <v>26</v>
      </c>
      <c r="P182" s="20">
        <v>205</v>
      </c>
      <c r="Q182" s="21">
        <f>IF($D$4="13,20,25㎜(一般家庭用)",0,IF($D$5&lt;=40,0,IF($D$5&gt;=60,20,$D$5-40)))</f>
        <v>0</v>
      </c>
      <c r="R182" s="20">
        <f t="shared" si="9"/>
        <v>0</v>
      </c>
    </row>
    <row r="183" spans="13:18">
      <c r="M183" s="96"/>
      <c r="N183" s="30"/>
      <c r="O183" s="10" t="s">
        <v>27</v>
      </c>
      <c r="P183" s="20">
        <v>225</v>
      </c>
      <c r="Q183" s="21">
        <f>IF($D$4="13,20,25㎜(一般家庭用)",0,IF($D$5&lt;=60,0,IF($D$5&gt;=100,40,$D$5-60)))</f>
        <v>0</v>
      </c>
      <c r="R183" s="20">
        <f t="shared" si="9"/>
        <v>0</v>
      </c>
    </row>
    <row r="184" spans="13:18">
      <c r="M184" s="96"/>
      <c r="N184" s="30"/>
      <c r="O184" s="10" t="s">
        <v>28</v>
      </c>
      <c r="P184" s="20">
        <v>280</v>
      </c>
      <c r="Q184" s="21">
        <f>IF($D$4="13,20,25㎜(一般家庭用)",0,IF($D$5&lt;=100,0,IF($D$5&gt;=600,500,$D$5-100)))</f>
        <v>0</v>
      </c>
      <c r="R184" s="20">
        <f t="shared" si="9"/>
        <v>0</v>
      </c>
    </row>
    <row r="185" spans="13:18">
      <c r="M185" s="96"/>
      <c r="N185" s="30"/>
      <c r="O185" s="28" t="s">
        <v>29</v>
      </c>
      <c r="P185" s="20">
        <v>330</v>
      </c>
      <c r="Q185" s="21">
        <f>IF($D$4="13,20,25㎜(一般家庭用)",0,IF($D$5&lt;=600,0,IF($D$5&gt;=2000,1400,$D$5-600)))</f>
        <v>0</v>
      </c>
      <c r="R185" s="20">
        <f t="shared" si="9"/>
        <v>0</v>
      </c>
    </row>
    <row r="186" spans="13:18" ht="19.5" thickBot="1">
      <c r="M186" s="97"/>
      <c r="N186" s="33"/>
      <c r="O186" s="34" t="s">
        <v>30</v>
      </c>
      <c r="P186" s="20">
        <v>350</v>
      </c>
      <c r="Q186" s="21">
        <f>IF($D$4="13,20,25㎜(一般家庭用)",0,IF($D$5&gt;=2001,$D$5-2000,0))</f>
        <v>0</v>
      </c>
      <c r="R186" s="20">
        <f t="shared" si="9"/>
        <v>0</v>
      </c>
    </row>
    <row r="187" spans="13:18" ht="19.5" thickBot="1">
      <c r="Q187" s="25" t="s">
        <v>33</v>
      </c>
      <c r="R187" s="35">
        <f>SUM(R172:R186)</f>
        <v>7210</v>
      </c>
    </row>
    <row r="188" spans="13:18">
      <c r="N188" s="13"/>
      <c r="O188" s="13"/>
    </row>
    <row r="189" spans="13:18">
      <c r="M189" s="6" t="s">
        <v>34</v>
      </c>
    </row>
    <row r="190" spans="13:18">
      <c r="N190" s="36" t="s">
        <v>20</v>
      </c>
      <c r="O190" s="10" t="s">
        <v>35</v>
      </c>
      <c r="P190" s="20">
        <v>1534</v>
      </c>
      <c r="Q190" s="21">
        <v>20</v>
      </c>
      <c r="R190" s="20">
        <v>1534</v>
      </c>
    </row>
    <row r="191" spans="13:18">
      <c r="N191" s="37" t="s">
        <v>21</v>
      </c>
      <c r="O191" s="10" t="s">
        <v>25</v>
      </c>
      <c r="P191" s="20">
        <v>102</v>
      </c>
      <c r="Q191" s="21">
        <f>IF($D$5&lt;=20,0,IF($D$5&lt;=40,$D$5-20,40-20))</f>
        <v>20</v>
      </c>
      <c r="R191" s="20">
        <f t="shared" ref="R191:R195" si="10">P191*Q191</f>
        <v>2040</v>
      </c>
    </row>
    <row r="192" spans="13:18">
      <c r="N192" s="30"/>
      <c r="O192" s="10" t="s">
        <v>36</v>
      </c>
      <c r="P192" s="20">
        <v>169</v>
      </c>
      <c r="Q192" s="21">
        <f>IF($D$5&lt;=40,0,IF($D$5&lt;=100,$D$5-40,60))</f>
        <v>10</v>
      </c>
      <c r="R192" s="20">
        <f t="shared" si="10"/>
        <v>1690</v>
      </c>
    </row>
    <row r="193" spans="14:18">
      <c r="N193" s="40"/>
      <c r="O193" s="10" t="s">
        <v>28</v>
      </c>
      <c r="P193" s="20">
        <v>198</v>
      </c>
      <c r="Q193" s="21">
        <f>IF($D$5&lt;=100,0,IF($D$5&lt;=600,$D$5-100,500))</f>
        <v>0</v>
      </c>
      <c r="R193" s="20">
        <f t="shared" si="10"/>
        <v>0</v>
      </c>
    </row>
    <row r="194" spans="14:18">
      <c r="N194" s="40"/>
      <c r="O194" s="10" t="s">
        <v>29</v>
      </c>
      <c r="P194" s="20">
        <v>239</v>
      </c>
      <c r="Q194" s="21">
        <f>IF($D$5&lt;=600,0,IF($D$5&lt;=2000,$D$5-600,1400))</f>
        <v>0</v>
      </c>
      <c r="R194" s="20">
        <f t="shared" si="10"/>
        <v>0</v>
      </c>
    </row>
    <row r="195" spans="14:18" ht="19.5" thickBot="1">
      <c r="N195" s="33"/>
      <c r="O195" s="10" t="s">
        <v>37</v>
      </c>
      <c r="P195" s="20">
        <v>274</v>
      </c>
      <c r="Q195" s="21">
        <f>IF($D$5&lt;=2000,0,$D$5-2000)</f>
        <v>0</v>
      </c>
      <c r="R195" s="20">
        <f t="shared" si="10"/>
        <v>0</v>
      </c>
    </row>
    <row r="196" spans="14:18" ht="19.5" thickBot="1">
      <c r="Q196" s="41" t="s">
        <v>38</v>
      </c>
      <c r="R196" s="35">
        <f>SUM(R190:R195)</f>
        <v>5264</v>
      </c>
    </row>
  </sheetData>
  <sheetProtection algorithmName="SHA-512" hashValue="mwrCVPHo5DASv+dhcGpXBAfhXqa/c1wL9AkjI+Tguk9bWIseZyBZCd4exklX40HgeVUszL9ERpcX8xRaqNa/NQ==" saltValue="+7Rrg5Ft65unu+nP3Z/9CA==" spinCount="100000" sheet="1" objects="1" scenarios="1"/>
  <mergeCells count="9">
    <mergeCell ref="B2:I2"/>
    <mergeCell ref="M134:M147"/>
    <mergeCell ref="M173:M186"/>
    <mergeCell ref="M5:M6"/>
    <mergeCell ref="N5:N6"/>
    <mergeCell ref="E6:G6"/>
    <mergeCell ref="M17:M30"/>
    <mergeCell ref="M56:M69"/>
    <mergeCell ref="M95:M108"/>
  </mergeCells>
  <phoneticPr fontId="2"/>
  <conditionalFormatting sqref="F8">
    <cfRule type="expression" dxfId="3" priority="6">
      <formula>($D$4&lt;&gt;"13,20,25㎜(一般家庭用)")</formula>
    </cfRule>
  </conditionalFormatting>
  <conditionalFormatting sqref="F9">
    <cfRule type="expression" dxfId="2" priority="4">
      <formula>($D$4&lt;&gt;"13,20,25mm(一般家庭用)")</formula>
    </cfRule>
  </conditionalFormatting>
  <conditionalFormatting sqref="F10">
    <cfRule type="expression" dxfId="1" priority="3">
      <formula>($D$4&lt;&gt;"13,20,25㎜(一般家庭用)")</formula>
    </cfRule>
  </conditionalFormatting>
  <conditionalFormatting sqref="F12">
    <cfRule type="expression" dxfId="0" priority="1">
      <formula>($D$4&lt;&gt;"13,20,25㎜(一般家庭用)")</formula>
    </cfRule>
  </conditionalFormatting>
  <dataValidations count="1">
    <dataValidation type="list" allowBlank="1" showInputMessage="1" showErrorMessage="1" sqref="D4">
      <formula1>$M$7:$M$14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F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高槻市</vt:lpstr>
      <vt:lpstr>高槻市!Print_Area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2025-12-17T05:24:47Z</cp:lastPrinted>
  <dcterms:created xsi:type="dcterms:W3CDTF">2025-12-12T08:00:16Z</dcterms:created>
  <dcterms:modified xsi:type="dcterms:W3CDTF">2025-12-23T02:12:19Z</dcterms:modified>
</cp:coreProperties>
</file>