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1\shozoku\13400_水道部\部内公開\10.総務企画課\03.企画Ｔ\■水道料金改定\"/>
    </mc:Choice>
  </mc:AlternateContent>
  <xr:revisionPtr revIDLastSave="0" documentId="13_ncr:1_{6366ED6D-795B-4417-934F-A7246DD92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槻市" sheetId="1" r:id="rId1"/>
  </sheets>
  <definedNames>
    <definedName name="_xlnm.Print_Area" localSheetId="0">高槻市!$B$2:$K$14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F10" i="1"/>
  <c r="G10" i="1"/>
  <c r="H9" i="1"/>
  <c r="G11" i="1"/>
  <c r="F9" i="1"/>
  <c r="R142" i="1"/>
  <c r="S142" i="1" s="1"/>
  <c r="S133" i="1"/>
  <c r="S94" i="1"/>
  <c r="R156" i="1"/>
  <c r="S156" i="1" s="1"/>
  <c r="R155" i="1"/>
  <c r="S155" i="1" s="1"/>
  <c r="R154" i="1"/>
  <c r="S154" i="1" s="1"/>
  <c r="R153" i="1"/>
  <c r="S153" i="1" s="1"/>
  <c r="R152" i="1"/>
  <c r="S152" i="1" s="1"/>
  <c r="R147" i="1"/>
  <c r="S147" i="1" s="1"/>
  <c r="R146" i="1"/>
  <c r="S146" i="1" s="1"/>
  <c r="R145" i="1"/>
  <c r="S145" i="1" s="1"/>
  <c r="R144" i="1"/>
  <c r="S144" i="1" s="1"/>
  <c r="R143" i="1"/>
  <c r="S143" i="1" s="1"/>
  <c r="R141" i="1"/>
  <c r="S141" i="1" s="1"/>
  <c r="R140" i="1"/>
  <c r="S140" i="1" s="1"/>
  <c r="R139" i="1"/>
  <c r="S139" i="1" s="1"/>
  <c r="R138" i="1"/>
  <c r="S138" i="1" s="1"/>
  <c r="R137" i="1"/>
  <c r="S137" i="1" s="1"/>
  <c r="R136" i="1"/>
  <c r="S136" i="1" s="1"/>
  <c r="R135" i="1"/>
  <c r="S135" i="1" s="1"/>
  <c r="R134" i="1"/>
  <c r="S134" i="1" s="1"/>
  <c r="G9" i="1"/>
  <c r="R234" i="1"/>
  <c r="S234" i="1" s="1"/>
  <c r="R233" i="1"/>
  <c r="S233" i="1" s="1"/>
  <c r="R232" i="1"/>
  <c r="S232" i="1" s="1"/>
  <c r="R231" i="1"/>
  <c r="S231" i="1" s="1"/>
  <c r="R230" i="1"/>
  <c r="S230" i="1" s="1"/>
  <c r="R225" i="1"/>
  <c r="S225" i="1" s="1"/>
  <c r="R224" i="1"/>
  <c r="S224" i="1" s="1"/>
  <c r="R223" i="1"/>
  <c r="S223" i="1" s="1"/>
  <c r="R222" i="1"/>
  <c r="S222" i="1" s="1"/>
  <c r="R221" i="1"/>
  <c r="S221" i="1" s="1"/>
  <c r="R220" i="1"/>
  <c r="S220" i="1" s="1"/>
  <c r="R219" i="1"/>
  <c r="S219" i="1" s="1"/>
  <c r="R218" i="1"/>
  <c r="S218" i="1" s="1"/>
  <c r="R217" i="1"/>
  <c r="S217" i="1" s="1"/>
  <c r="R216" i="1"/>
  <c r="S216" i="1" s="1"/>
  <c r="R215" i="1"/>
  <c r="S215" i="1" s="1"/>
  <c r="R214" i="1"/>
  <c r="S214" i="1" s="1"/>
  <c r="R213" i="1"/>
  <c r="S213" i="1" s="1"/>
  <c r="R212" i="1"/>
  <c r="S212" i="1" s="1"/>
  <c r="S211" i="1"/>
  <c r="R195" i="1"/>
  <c r="S195" i="1" s="1"/>
  <c r="R194" i="1"/>
  <c r="S194" i="1" s="1"/>
  <c r="R193" i="1"/>
  <c r="S193" i="1" s="1"/>
  <c r="R192" i="1"/>
  <c r="S192" i="1" s="1"/>
  <c r="R191" i="1"/>
  <c r="S191" i="1" s="1"/>
  <c r="R186" i="1"/>
  <c r="S186" i="1" s="1"/>
  <c r="R185" i="1"/>
  <c r="S185" i="1" s="1"/>
  <c r="R184" i="1"/>
  <c r="S184" i="1" s="1"/>
  <c r="R183" i="1"/>
  <c r="S183" i="1" s="1"/>
  <c r="R182" i="1"/>
  <c r="S182" i="1" s="1"/>
  <c r="R181" i="1"/>
  <c r="S181" i="1" s="1"/>
  <c r="R180" i="1"/>
  <c r="S180" i="1" s="1"/>
  <c r="R179" i="1"/>
  <c r="S179" i="1" s="1"/>
  <c r="R178" i="1"/>
  <c r="S178" i="1" s="1"/>
  <c r="R177" i="1"/>
  <c r="S177" i="1" s="1"/>
  <c r="R176" i="1"/>
  <c r="S176" i="1" s="1"/>
  <c r="R175" i="1"/>
  <c r="S175" i="1" s="1"/>
  <c r="R174" i="1"/>
  <c r="S174" i="1" s="1"/>
  <c r="R173" i="1"/>
  <c r="S173" i="1" s="1"/>
  <c r="S172" i="1"/>
  <c r="R117" i="1"/>
  <c r="S117" i="1" s="1"/>
  <c r="R116" i="1"/>
  <c r="S116" i="1" s="1"/>
  <c r="R115" i="1"/>
  <c r="S115" i="1" s="1"/>
  <c r="R114" i="1"/>
  <c r="S114" i="1" s="1"/>
  <c r="R113" i="1"/>
  <c r="S113" i="1" s="1"/>
  <c r="R108" i="1"/>
  <c r="S108" i="1" s="1"/>
  <c r="R107" i="1"/>
  <c r="S107" i="1" s="1"/>
  <c r="R106" i="1"/>
  <c r="S106" i="1" s="1"/>
  <c r="R105" i="1"/>
  <c r="S105" i="1" s="1"/>
  <c r="R104" i="1"/>
  <c r="S104" i="1" s="1"/>
  <c r="R103" i="1"/>
  <c r="S103" i="1" s="1"/>
  <c r="R102" i="1"/>
  <c r="S102" i="1" s="1"/>
  <c r="R101" i="1"/>
  <c r="S101" i="1" s="1"/>
  <c r="R100" i="1"/>
  <c r="S100" i="1" s="1"/>
  <c r="R99" i="1"/>
  <c r="S99" i="1" s="1"/>
  <c r="R98" i="1"/>
  <c r="S98" i="1" s="1"/>
  <c r="R97" i="1"/>
  <c r="S97" i="1" s="1"/>
  <c r="R96" i="1"/>
  <c r="S96" i="1" s="1"/>
  <c r="R95" i="1"/>
  <c r="S95" i="1" s="1"/>
  <c r="R78" i="1"/>
  <c r="S78" i="1" s="1"/>
  <c r="R77" i="1"/>
  <c r="S77" i="1" s="1"/>
  <c r="R76" i="1"/>
  <c r="S76" i="1" s="1"/>
  <c r="R75" i="1"/>
  <c r="S75" i="1" s="1"/>
  <c r="R74" i="1"/>
  <c r="S74" i="1" s="1"/>
  <c r="R69" i="1"/>
  <c r="S69" i="1" s="1"/>
  <c r="R68" i="1"/>
  <c r="S68" i="1" s="1"/>
  <c r="R67" i="1"/>
  <c r="S67" i="1" s="1"/>
  <c r="R66" i="1"/>
  <c r="S66" i="1" s="1"/>
  <c r="R65" i="1"/>
  <c r="S65" i="1" s="1"/>
  <c r="R64" i="1"/>
  <c r="S64" i="1" s="1"/>
  <c r="R63" i="1"/>
  <c r="S63" i="1" s="1"/>
  <c r="R62" i="1"/>
  <c r="S62" i="1" s="1"/>
  <c r="R61" i="1"/>
  <c r="S61" i="1" s="1"/>
  <c r="R60" i="1"/>
  <c r="S60" i="1" s="1"/>
  <c r="R59" i="1"/>
  <c r="S59" i="1" s="1"/>
  <c r="R58" i="1"/>
  <c r="S58" i="1" s="1"/>
  <c r="R57" i="1"/>
  <c r="S57" i="1" s="1"/>
  <c r="R56" i="1"/>
  <c r="S56" i="1" s="1"/>
  <c r="S55" i="1"/>
  <c r="R39" i="1"/>
  <c r="S39" i="1" s="1"/>
  <c r="R38" i="1"/>
  <c r="S38" i="1" s="1"/>
  <c r="R37" i="1"/>
  <c r="S37" i="1" s="1"/>
  <c r="R36" i="1"/>
  <c r="S36" i="1" s="1"/>
  <c r="R35" i="1"/>
  <c r="S35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S16" i="1"/>
  <c r="S148" i="1" l="1"/>
  <c r="S157" i="1"/>
  <c r="S235" i="1"/>
  <c r="I11" i="1" s="1"/>
  <c r="S118" i="1"/>
  <c r="S40" i="1"/>
  <c r="D11" i="1" s="1"/>
  <c r="S79" i="1"/>
  <c r="E11" i="1" s="1"/>
  <c r="S31" i="1"/>
  <c r="D10" i="1" s="1"/>
  <c r="S70" i="1"/>
  <c r="E10" i="1" s="1"/>
  <c r="S109" i="1"/>
  <c r="S187" i="1"/>
  <c r="S226" i="1"/>
  <c r="I10" i="1" s="1"/>
  <c r="S196" i="1"/>
  <c r="H11" i="1" s="1"/>
  <c r="F11" i="1" l="1"/>
  <c r="G12" i="1"/>
  <c r="F12" i="1"/>
  <c r="I12" i="1"/>
  <c r="D12" i="1"/>
  <c r="E12" i="1"/>
  <c r="H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高槻市</author>
  </authors>
  <commentList>
    <comment ref="N81" authorId="0" shapeId="0" xr:uid="{B82FF29D-9423-476A-892E-907A988AAACA}">
      <text>
        <r>
          <rPr>
            <b/>
            <sz val="9"/>
            <color indexed="81"/>
            <rFont val="BIZ UDPゴシック"/>
            <family val="3"/>
            <charset val="128"/>
          </rPr>
          <t>小口径は（2）-1　「令和8年4月から令和9年3月まで」</t>
        </r>
      </text>
    </comment>
    <comment ref="N120" authorId="0" shapeId="0" xr:uid="{3CF9BBFE-F541-4C78-A308-4E18094CF54E}">
      <text>
        <r>
          <rPr>
            <b/>
            <sz val="9"/>
            <color indexed="81"/>
            <rFont val="BIZ UDPゴシック"/>
            <family val="3"/>
            <charset val="128"/>
          </rPr>
          <t>小口径は該当なし</t>
        </r>
      </text>
    </comment>
    <comment ref="N159" authorId="0" shapeId="0" xr:uid="{CF67B2FB-A591-401B-9C75-5940F0E2FD91}">
      <text>
        <r>
          <rPr>
            <b/>
            <sz val="9"/>
            <color indexed="81"/>
            <rFont val="BIZ UDPゴシック"/>
            <family val="3"/>
            <charset val="128"/>
          </rPr>
          <t>小口径は「(2)-2」 令和9年4月から令和10年3月まで</t>
        </r>
      </text>
    </comment>
  </commentList>
</comments>
</file>

<file path=xl/sharedStrings.xml><?xml version="1.0" encoding="utf-8"?>
<sst xmlns="http://schemas.openxmlformats.org/spreadsheetml/2006/main" count="273" uniqueCount="58">
  <si>
    <t>(改定前)令和7年9月まで</t>
    <rPh sb="1" eb="4">
      <t>カイテイマエ</t>
    </rPh>
    <rPh sb="5" eb="7">
      <t>レイワ</t>
    </rPh>
    <rPh sb="8" eb="9">
      <t>ネン</t>
    </rPh>
    <rPh sb="10" eb="11">
      <t>ガツ</t>
    </rPh>
    <phoneticPr fontId="2"/>
  </si>
  <si>
    <t>口径</t>
    <rPh sb="0" eb="2">
      <t>コウケイ</t>
    </rPh>
    <phoneticPr fontId="6"/>
  </si>
  <si>
    <t>13,20,25㎜(一般家庭用)</t>
    <rPh sb="10" eb="15">
      <t>イッパンカテイヨウ</t>
    </rPh>
    <phoneticPr fontId="2"/>
  </si>
  <si>
    <t>◎水道料金</t>
    <rPh sb="1" eb="3">
      <t>スイドウ</t>
    </rPh>
    <rPh sb="3" eb="5">
      <t>リョウキン</t>
    </rPh>
    <phoneticPr fontId="6"/>
  </si>
  <si>
    <t>使用水量</t>
    <rPh sb="0" eb="2">
      <t>シヨウ</t>
    </rPh>
    <rPh sb="2" eb="4">
      <t>スイリョウ</t>
    </rPh>
    <phoneticPr fontId="6"/>
  </si>
  <si>
    <t>基本料金</t>
    <rPh sb="0" eb="2">
      <t>キホン</t>
    </rPh>
    <rPh sb="2" eb="4">
      <t>リョウキン</t>
    </rPh>
    <phoneticPr fontId="6"/>
  </si>
  <si>
    <t>30㎜</t>
    <phoneticPr fontId="2"/>
  </si>
  <si>
    <t>(改定前)
　　令和7年9月まで</t>
    <rPh sb="1" eb="4">
      <t>カイテイマエ</t>
    </rPh>
    <rPh sb="8" eb="10">
      <t>レイワ</t>
    </rPh>
    <rPh sb="11" eb="12">
      <t>ネン</t>
    </rPh>
    <rPh sb="13" eb="14">
      <t>ガツ</t>
    </rPh>
    <phoneticPr fontId="2"/>
  </si>
  <si>
    <t>(1)令和7年10月から
　　 令和8年3月まで</t>
    <rPh sb="3" eb="5">
      <t>レイワ</t>
    </rPh>
    <rPh sb="6" eb="7">
      <t>ネン</t>
    </rPh>
    <rPh sb="9" eb="10">
      <t>ガツ</t>
    </rPh>
    <rPh sb="16" eb="18">
      <t>レイワ</t>
    </rPh>
    <rPh sb="19" eb="20">
      <t>ネン</t>
    </rPh>
    <rPh sb="21" eb="22">
      <t>ガツ</t>
    </rPh>
    <phoneticPr fontId="2"/>
  </si>
  <si>
    <t>40㎜</t>
    <phoneticPr fontId="2"/>
  </si>
  <si>
    <t>水道料金</t>
    <rPh sb="0" eb="4">
      <t>スイドウリョウキン</t>
    </rPh>
    <phoneticPr fontId="2"/>
  </si>
  <si>
    <t>税込</t>
    <rPh sb="0" eb="2">
      <t>ゼイコ</t>
    </rPh>
    <phoneticPr fontId="2"/>
  </si>
  <si>
    <t>50㎜</t>
    <phoneticPr fontId="2"/>
  </si>
  <si>
    <t>下水道使用料</t>
    <rPh sb="0" eb="6">
      <t>ゲスイドウシヨウリョウ</t>
    </rPh>
    <phoneticPr fontId="2"/>
  </si>
  <si>
    <t>75㎜</t>
    <phoneticPr fontId="2"/>
  </si>
  <si>
    <t>合 計</t>
    <rPh sb="0" eb="1">
      <t>ゴウ</t>
    </rPh>
    <rPh sb="2" eb="3">
      <t>ケイ</t>
    </rPh>
    <phoneticPr fontId="2"/>
  </si>
  <si>
    <t>100㎜</t>
    <phoneticPr fontId="2"/>
  </si>
  <si>
    <t>150㎜</t>
    <phoneticPr fontId="2"/>
  </si>
  <si>
    <t>200㎜</t>
    <phoneticPr fontId="2"/>
  </si>
  <si>
    <t>基本料金</t>
    <rPh sb="0" eb="4">
      <t>キホンリョウキン</t>
    </rPh>
    <phoneticPr fontId="2"/>
  </si>
  <si>
    <t>従量料金</t>
    <rPh sb="0" eb="4">
      <t>ジュウリョウリョウキン</t>
    </rPh>
    <phoneticPr fontId="2"/>
  </si>
  <si>
    <t>13～25</t>
    <phoneticPr fontId="6"/>
  </si>
  <si>
    <t>1～12</t>
    <phoneticPr fontId="6"/>
  </si>
  <si>
    <t>13～20</t>
    <phoneticPr fontId="6"/>
  </si>
  <si>
    <t>21～40</t>
    <phoneticPr fontId="6"/>
  </si>
  <si>
    <t>41～60</t>
    <phoneticPr fontId="6"/>
  </si>
  <si>
    <t>61～100</t>
    <phoneticPr fontId="6"/>
  </si>
  <si>
    <t>101～600</t>
    <phoneticPr fontId="6"/>
  </si>
  <si>
    <t>601～2000</t>
    <phoneticPr fontId="6"/>
  </si>
  <si>
    <t>2001以上</t>
    <rPh sb="4" eb="6">
      <t>イジョウ</t>
    </rPh>
    <phoneticPr fontId="2"/>
  </si>
  <si>
    <t>30以上</t>
    <rPh sb="2" eb="4">
      <t>イジョウ</t>
    </rPh>
    <phoneticPr fontId="2"/>
  </si>
  <si>
    <t>1～40</t>
    <phoneticPr fontId="6"/>
  </si>
  <si>
    <t>水道料金（税抜）</t>
    <rPh sb="0" eb="4">
      <t>スイドウリョウキン</t>
    </rPh>
    <rPh sb="5" eb="7">
      <t>ゼイヌ</t>
    </rPh>
    <phoneticPr fontId="2"/>
  </si>
  <si>
    <t>◎下水道使用料</t>
    <rPh sb="1" eb="4">
      <t>ゲスイドウ</t>
    </rPh>
    <rPh sb="4" eb="7">
      <t>シヨウリョウ</t>
    </rPh>
    <phoneticPr fontId="6"/>
  </si>
  <si>
    <t>0～20</t>
    <phoneticPr fontId="2"/>
  </si>
  <si>
    <t>41～100</t>
    <phoneticPr fontId="6"/>
  </si>
  <si>
    <t>2001以上</t>
    <rPh sb="4" eb="6">
      <t>イジョウ</t>
    </rPh>
    <phoneticPr fontId="6"/>
  </si>
  <si>
    <t>下水道使用料（税抜）</t>
    <rPh sb="0" eb="6">
      <t>ゲスイドウシヨウリョウ</t>
    </rPh>
    <rPh sb="7" eb="9">
      <t>ゼイヌ</t>
    </rPh>
    <phoneticPr fontId="2"/>
  </si>
  <si>
    <t>(1)令和7年10月から令和8年3月まで</t>
    <rPh sb="3" eb="5">
      <t>レイワ</t>
    </rPh>
    <rPh sb="6" eb="7">
      <t>ネン</t>
    </rPh>
    <rPh sb="9" eb="10">
      <t>ガツ</t>
    </rPh>
    <rPh sb="12" eb="14">
      <t>レイワ</t>
    </rPh>
    <rPh sb="15" eb="16">
      <t>ネン</t>
    </rPh>
    <rPh sb="17" eb="18">
      <t>ガツ</t>
    </rPh>
    <phoneticPr fontId="2"/>
  </si>
  <si>
    <t>(3)令和10年4月以降</t>
    <rPh sb="3" eb="5">
      <t>レイワ</t>
    </rPh>
    <rPh sb="7" eb="8">
      <t>ネン</t>
    </rPh>
    <rPh sb="9" eb="10">
      <t>ガツ</t>
    </rPh>
    <rPh sb="10" eb="12">
      <t>イコウ</t>
    </rPh>
    <phoneticPr fontId="2"/>
  </si>
  <si>
    <r>
      <t>【</t>
    </r>
    <r>
      <rPr>
        <sz val="11"/>
        <color theme="1"/>
        <rFont val="游ゴシック"/>
        <family val="3"/>
        <charset val="128"/>
      </rPr>
      <t>↓</t>
    </r>
    <r>
      <rPr>
        <sz val="11"/>
        <color theme="1"/>
        <rFont val="游ゴシック"/>
        <family val="3"/>
        <charset val="128"/>
        <scheme val="minor"/>
      </rPr>
      <t>参照文字列】</t>
    </r>
    <rPh sb="2" eb="4">
      <t>サンショウ</t>
    </rPh>
    <rPh sb="4" eb="7">
      <t>モジレツ</t>
    </rPh>
    <phoneticPr fontId="2"/>
  </si>
  <si>
    <t xml:space="preserve">あなたの２か月の料金は… </t>
    <rPh sb="6" eb="7">
      <t>ゲツ</t>
    </rPh>
    <phoneticPr fontId="2"/>
  </si>
  <si>
    <r>
      <rPr>
        <b/>
        <sz val="22"/>
        <color rgb="FFFFFF93"/>
        <rFont val="HG丸ｺﾞｼｯｸM-PRO"/>
        <family val="3"/>
        <charset val="128"/>
      </rPr>
      <t>２</t>
    </r>
    <r>
      <rPr>
        <b/>
        <sz val="18"/>
        <color rgb="FFFFFF93"/>
        <rFont val="HG丸ｺﾞｼｯｸM-PRO"/>
        <family val="3"/>
        <charset val="128"/>
      </rPr>
      <t>か月あたり・税込</t>
    </r>
    <r>
      <rPr>
        <b/>
        <sz val="18"/>
        <color theme="0"/>
        <rFont val="HG丸ｺﾞｼｯｸM-PRO"/>
        <family val="3"/>
        <charset val="128"/>
      </rPr>
      <t xml:space="preserve">
</t>
    </r>
    <r>
      <rPr>
        <b/>
        <sz val="22"/>
        <color theme="0"/>
        <rFont val="HG丸ｺﾞｼｯｸM-PRO"/>
        <family val="3"/>
        <charset val="128"/>
      </rPr>
      <t>水道料金・下水道使用料　料金シミュレーション</t>
    </r>
    <rPh sb="2" eb="3">
      <t>ゲツ</t>
    </rPh>
    <rPh sb="7" eb="9">
      <t>ゼイコ</t>
    </rPh>
    <rPh sb="10" eb="14">
      <t>スイドウリョウキン</t>
    </rPh>
    <rPh sb="15" eb="21">
      <t>ゲスイドウシヨウリョウ</t>
    </rPh>
    <rPh sb="22" eb="24">
      <t>リョウキン</t>
    </rPh>
    <phoneticPr fontId="2"/>
  </si>
  <si>
    <r>
      <rPr>
        <b/>
        <sz val="16"/>
        <color theme="1"/>
        <rFont val="HG丸ｺﾞｼｯｸM-PRO"/>
        <family val="3"/>
        <charset val="128"/>
      </rPr>
      <t>口径</t>
    </r>
    <r>
      <rPr>
        <b/>
        <sz val="12"/>
        <color theme="1"/>
        <rFont val="HG丸ｺﾞｼｯｸM-PRO"/>
        <family val="3"/>
        <charset val="128"/>
      </rPr>
      <t>と</t>
    </r>
    <r>
      <rPr>
        <b/>
        <sz val="16"/>
        <color theme="1"/>
        <rFont val="HG丸ｺﾞｼｯｸM-PRO"/>
        <family val="3"/>
        <charset val="128"/>
      </rPr>
      <t>使用水量</t>
    </r>
    <r>
      <rPr>
        <b/>
        <sz val="12"/>
        <color theme="1"/>
        <rFont val="HG丸ｺﾞｼｯｸM-PRO"/>
        <family val="3"/>
        <charset val="128"/>
      </rPr>
      <t>(黄色のセル)を入力してください</t>
    </r>
    <phoneticPr fontId="2"/>
  </si>
  <si>
    <r>
      <rPr>
        <b/>
        <sz val="14"/>
        <color theme="1"/>
        <rFont val="HG丸ｺﾞｼｯｸM-PRO"/>
        <family val="3"/>
        <charset val="128"/>
      </rPr>
      <t>👈</t>
    </r>
    <r>
      <rPr>
        <b/>
        <sz val="11"/>
        <color theme="1"/>
        <rFont val="HG丸ｺﾞｼｯｸM-PRO"/>
        <family val="3"/>
        <charset val="128"/>
      </rPr>
      <t>リスト▼</t>
    </r>
    <r>
      <rPr>
        <sz val="11"/>
        <color theme="1"/>
        <rFont val="HG丸ｺﾞｼｯｸM-PRO"/>
        <family val="3"/>
        <charset val="128"/>
      </rPr>
      <t>から選択</t>
    </r>
    <rPh sb="8" eb="10">
      <t>センタク</t>
    </rPh>
    <phoneticPr fontId="2"/>
  </si>
  <si>
    <r>
      <rPr>
        <b/>
        <sz val="14"/>
        <color theme="1"/>
        <rFont val="HG丸ｺﾞｼｯｸM-PRO"/>
        <family val="3"/>
        <charset val="128"/>
      </rPr>
      <t>👈</t>
    </r>
    <r>
      <rPr>
        <b/>
        <sz val="11"/>
        <color theme="1"/>
        <rFont val="HG丸ｺﾞｼｯｸM-PRO"/>
        <family val="3"/>
        <charset val="128"/>
      </rPr>
      <t>数字のみ</t>
    </r>
    <r>
      <rPr>
        <sz val="11"/>
        <color theme="1"/>
        <rFont val="HG丸ｺﾞｼｯｸM-PRO"/>
        <family val="3"/>
        <charset val="128"/>
      </rPr>
      <t>入力</t>
    </r>
    <rPh sb="2" eb="4">
      <t>スウジ</t>
    </rPh>
    <rPh sb="6" eb="8">
      <t>ニュウリョク</t>
    </rPh>
    <phoneticPr fontId="2"/>
  </si>
  <si>
    <r>
      <rPr>
        <b/>
        <sz val="14"/>
        <color theme="0"/>
        <rFont val="HG丸ｺﾞｼｯｸM-PRO"/>
        <family val="3"/>
        <charset val="128"/>
      </rPr>
      <t>←</t>
    </r>
    <r>
      <rPr>
        <b/>
        <sz val="12"/>
        <color theme="0"/>
        <rFont val="HG丸ｺﾞｼｯｸM-PRO"/>
        <family val="3"/>
        <charset val="128"/>
      </rPr>
      <t>　　 　　　　　　   激変緩和措置期間 　　　  　　  　　</t>
    </r>
    <r>
      <rPr>
        <b/>
        <sz val="14"/>
        <color theme="0"/>
        <rFont val="HG丸ｺﾞｼｯｸM-PRO"/>
        <family val="3"/>
        <charset val="128"/>
      </rPr>
      <t>→</t>
    </r>
    <rPh sb="13" eb="21">
      <t>ゲキヘンカンワソチキカン</t>
    </rPh>
    <phoneticPr fontId="2"/>
  </si>
  <si>
    <r>
      <rPr>
        <b/>
        <sz val="10"/>
        <color theme="0"/>
        <rFont val="HG丸ｺﾞｼｯｸM-PRO"/>
        <family val="3"/>
        <charset val="128"/>
      </rPr>
      <t>基本料金</t>
    </r>
    <r>
      <rPr>
        <b/>
        <sz val="9"/>
        <color theme="0"/>
        <rFont val="HG丸ｺﾞｼｯｸM-PRO"/>
        <family val="3"/>
        <charset val="128"/>
      </rPr>
      <t xml:space="preserve">
</t>
    </r>
    <r>
      <rPr>
        <b/>
        <sz val="11"/>
        <color theme="0"/>
        <rFont val="HG丸ｺﾞｼｯｸM-PRO"/>
        <family val="3"/>
        <charset val="128"/>
      </rPr>
      <t>←無償化期間→</t>
    </r>
    <rPh sb="0" eb="4">
      <t>キホンリョウキン</t>
    </rPh>
    <phoneticPr fontId="2"/>
  </si>
  <si>
    <t>➡１年間に延長します！</t>
    <rPh sb="2" eb="4">
      <t>ネンカン</t>
    </rPh>
    <rPh sb="5" eb="7">
      <t>エンチョウ</t>
    </rPh>
    <phoneticPr fontId="2"/>
  </si>
  <si>
    <t>(2)-2 令和8年８月から
　　　令和9年3月まで</t>
    <rPh sb="6" eb="8">
      <t>レイワ</t>
    </rPh>
    <rPh sb="9" eb="10">
      <t>ネン</t>
    </rPh>
    <rPh sb="11" eb="12">
      <t>ガツ</t>
    </rPh>
    <rPh sb="18" eb="20">
      <t>レイワ</t>
    </rPh>
    <rPh sb="21" eb="22">
      <t>ネン</t>
    </rPh>
    <rPh sb="23" eb="24">
      <t>ガツ</t>
    </rPh>
    <phoneticPr fontId="2"/>
  </si>
  <si>
    <t>(2)-1 令和8年4月から
　　　令和8年７月まで</t>
    <phoneticPr fontId="2"/>
  </si>
  <si>
    <t>(2) -1令和8年4月から
　　　令和9年3月まで</t>
    <rPh sb="6" eb="8">
      <t>レイワ</t>
    </rPh>
    <rPh sb="9" eb="10">
      <t>ネン</t>
    </rPh>
    <rPh sb="11" eb="12">
      <t>ガツ</t>
    </rPh>
    <rPh sb="18" eb="20">
      <t>レイワ</t>
    </rPh>
    <rPh sb="21" eb="22">
      <t>ネン</t>
    </rPh>
    <rPh sb="23" eb="24">
      <t>ガツ</t>
    </rPh>
    <phoneticPr fontId="2"/>
  </si>
  <si>
    <t>(３)
　令和10年4月以降</t>
    <rPh sb="5" eb="7">
      <t>レイワ</t>
    </rPh>
    <rPh sb="9" eb="10">
      <t>ネン</t>
    </rPh>
    <rPh sb="11" eb="12">
      <t>ガツ</t>
    </rPh>
    <rPh sb="12" eb="14">
      <t>イコウ</t>
    </rPh>
    <phoneticPr fontId="2"/>
  </si>
  <si>
    <t>(２)-3 令和9年4月から
　　 令和10年3月まで</t>
    <rPh sb="6" eb="8">
      <t>レイワ</t>
    </rPh>
    <rPh sb="9" eb="10">
      <t>ネン</t>
    </rPh>
    <rPh sb="11" eb="12">
      <t>ガツ</t>
    </rPh>
    <rPh sb="18" eb="20">
      <t>レイワ</t>
    </rPh>
    <rPh sb="22" eb="23">
      <t>ネン</t>
    </rPh>
    <rPh sb="24" eb="25">
      <t>ガツ</t>
    </rPh>
    <phoneticPr fontId="2"/>
  </si>
  <si>
    <t>(２)-2 令和9年4月から
　　 令和10年3月まで</t>
    <rPh sb="6" eb="8">
      <t>レイワ</t>
    </rPh>
    <rPh sb="9" eb="10">
      <t>ネン</t>
    </rPh>
    <rPh sb="11" eb="12">
      <t>ガツ</t>
    </rPh>
    <rPh sb="18" eb="20">
      <t>レイワ</t>
    </rPh>
    <rPh sb="22" eb="23">
      <t>ネン</t>
    </rPh>
    <rPh sb="24" eb="25">
      <t>ガツ</t>
    </rPh>
    <phoneticPr fontId="2"/>
  </si>
  <si>
    <t>(2)-1　令和8年4月から令和8年7月まで</t>
    <rPh sb="6" eb="8">
      <t>レイワ</t>
    </rPh>
    <rPh sb="9" eb="10">
      <t>ネン</t>
    </rPh>
    <rPh sb="11" eb="12">
      <t>ガツ</t>
    </rPh>
    <rPh sb="14" eb="16">
      <t>レイワ</t>
    </rPh>
    <rPh sb="17" eb="18">
      <t>ネン</t>
    </rPh>
    <rPh sb="19" eb="20">
      <t>ガツ</t>
    </rPh>
    <phoneticPr fontId="2"/>
  </si>
  <si>
    <t>(2)-2　令和8年8月から令和9年3月まで</t>
    <rPh sb="6" eb="8">
      <t>レイワ</t>
    </rPh>
    <rPh sb="9" eb="10">
      <t>ネン</t>
    </rPh>
    <rPh sb="11" eb="12">
      <t>ガツ</t>
    </rPh>
    <rPh sb="14" eb="16">
      <t>レイワ</t>
    </rPh>
    <rPh sb="17" eb="18">
      <t>ネン</t>
    </rPh>
    <rPh sb="19" eb="20">
      <t>ガツ</t>
    </rPh>
    <phoneticPr fontId="2"/>
  </si>
  <si>
    <t>(2)-3　令和9年4月から令和10年3月まで</t>
    <rPh sb="6" eb="8">
      <t>レイワ</t>
    </rPh>
    <rPh sb="9" eb="10">
      <t>ネン</t>
    </rPh>
    <rPh sb="11" eb="12">
      <t>ガツ</t>
    </rPh>
    <rPh sb="14" eb="16">
      <t>レイワ</t>
    </rPh>
    <rPh sb="18" eb="19">
      <t>ネン</t>
    </rPh>
    <rPh sb="20" eb="2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</si>
</sst>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mm&quot;"/>
    <numFmt numFmtId="177" formatCode="#,##0&quot;㎥&quot;"/>
    <numFmt numFmtId="178" formatCode="#,##0&quot;円&quot;"/>
  </numFmts>
  <fonts count="3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0"/>
      <name val="BIZ UDPゴシック"/>
      <family val="3"/>
      <charset val="128"/>
    </font>
    <font>
      <b/>
      <u/>
      <sz val="14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8"/>
      <color theme="0"/>
      <name val="HG丸ｺﾞｼｯｸM-PRO"/>
      <family val="3"/>
      <charset val="128"/>
    </font>
    <font>
      <b/>
      <sz val="22"/>
      <color rgb="FFFFFF93"/>
      <name val="HG丸ｺﾞｼｯｸM-PRO"/>
      <family val="3"/>
      <charset val="128"/>
    </font>
    <font>
      <b/>
      <sz val="18"/>
      <color rgb="FFFFFF93"/>
      <name val="HG丸ｺﾞｼｯｸM-PRO"/>
      <family val="3"/>
      <charset val="128"/>
    </font>
    <font>
      <b/>
      <sz val="22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b/>
      <sz val="9"/>
      <color theme="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rgb="FFFF0582"/>
      <name val="HG丸ｺﾞｼｯｸM-PRO"/>
      <family val="3"/>
      <charset val="128"/>
    </font>
    <font>
      <sz val="9"/>
      <color rgb="FFFF0582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9"/>
      <color indexed="8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2AB4B1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FF0582"/>
        <bgColor indexed="64"/>
      </patternFill>
    </fill>
    <fill>
      <patternFill patternType="solid">
        <fgColor rgb="FFE0F8F7"/>
        <bgColor indexed="64"/>
      </patternFill>
    </fill>
    <fill>
      <patternFill patternType="solid">
        <fgColor rgb="FF8CE4E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34">
    <border>
      <left/>
      <right/>
      <top/>
      <bottom/>
      <diagonal/>
    </border>
    <border>
      <left style="thick">
        <color rgb="FF2AB4B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2AB4B1"/>
      </left>
      <right/>
      <top/>
      <bottom style="thick">
        <color rgb="FF2AB4B1"/>
      </bottom>
      <diagonal/>
    </border>
    <border>
      <left/>
      <right/>
      <top/>
      <bottom style="thick">
        <color rgb="FF2AB4B1"/>
      </bottom>
      <diagonal/>
    </border>
    <border>
      <left/>
      <right style="thick">
        <color rgb="FF2AB4B1"/>
      </right>
      <top/>
      <bottom style="thick">
        <color rgb="FF2AB4B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2AB4B1"/>
      </right>
      <top/>
      <bottom/>
      <diagonal/>
    </border>
    <border>
      <left/>
      <right style="mediumDashed">
        <color theme="1" tint="0.249977111117893"/>
      </right>
      <top/>
      <bottom style="thick">
        <color indexed="64"/>
      </bottom>
      <diagonal/>
    </border>
    <border>
      <left/>
      <right style="mediumDashed">
        <color theme="1" tint="0.249977111117893"/>
      </right>
      <top/>
      <bottom/>
      <diagonal/>
    </border>
    <border>
      <left/>
      <right/>
      <top/>
      <bottom style="thin">
        <color theme="1" tint="0.249977111117893"/>
      </bottom>
      <diagonal/>
    </border>
    <border>
      <left style="mediumDashed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 applyProtection="1">
      <protection hidden="1"/>
    </xf>
    <xf numFmtId="0" fontId="4" fillId="0" borderId="0" xfId="0" applyFont="1" applyAlignment="1" applyProtection="1">
      <protection hidden="1"/>
    </xf>
    <xf numFmtId="0" fontId="0" fillId="0" borderId="0" xfId="0" applyBorder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7" fillId="0" borderId="0" xfId="0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178" fontId="1" fillId="0" borderId="7" xfId="1" applyNumberFormat="1" applyFont="1" applyBorder="1" applyAlignment="1" applyProtection="1">
      <protection hidden="1"/>
    </xf>
    <xf numFmtId="0" fontId="0" fillId="0" borderId="10" xfId="0" applyBorder="1" applyAlignment="1" applyProtection="1">
      <protection hidden="1"/>
    </xf>
    <xf numFmtId="178" fontId="1" fillId="0" borderId="2" xfId="1" applyNumberFormat="1" applyFont="1" applyBorder="1" applyAlignment="1" applyProtection="1">
      <protection hidden="1"/>
    </xf>
    <xf numFmtId="9" fontId="0" fillId="0" borderId="0" xfId="0" applyNumberFormat="1" applyFill="1" applyBorder="1" applyAlignment="1" applyProtection="1">
      <protection hidden="1"/>
    </xf>
    <xf numFmtId="178" fontId="1" fillId="0" borderId="0" xfId="1" applyNumberFormat="1" applyFont="1" applyBorder="1" applyAlignment="1" applyProtection="1">
      <protection hidden="1"/>
    </xf>
    <xf numFmtId="0" fontId="0" fillId="0" borderId="2" xfId="0" applyBorder="1" applyAlignment="1" applyProtection="1">
      <protection hidden="1"/>
    </xf>
    <xf numFmtId="0" fontId="0" fillId="0" borderId="20" xfId="0" applyBorder="1" applyAlignment="1" applyProtection="1">
      <alignment horizontal="left"/>
      <protection hidden="1"/>
    </xf>
    <xf numFmtId="0" fontId="9" fillId="0" borderId="20" xfId="0" applyFont="1" applyBorder="1" applyAlignment="1" applyProtection="1">
      <protection hidden="1"/>
    </xf>
    <xf numFmtId="0" fontId="10" fillId="7" borderId="10" xfId="0" applyFont="1" applyFill="1" applyBorder="1" applyAlignment="1" applyProtection="1">
      <protection hidden="1"/>
    </xf>
    <xf numFmtId="178" fontId="1" fillId="0" borderId="10" xfId="1" applyNumberFormat="1" applyFont="1" applyBorder="1" applyAlignment="1" applyProtection="1">
      <protection hidden="1"/>
    </xf>
    <xf numFmtId="0" fontId="10" fillId="0" borderId="6" xfId="0" applyFont="1" applyBorder="1" applyAlignment="1" applyProtection="1">
      <alignment vertical="center" wrapText="1"/>
      <protection hidden="1"/>
    </xf>
    <xf numFmtId="178" fontId="0" fillId="0" borderId="10" xfId="0" applyNumberFormat="1" applyBorder="1" applyAlignment="1" applyProtection="1">
      <protection hidden="1"/>
    </xf>
    <xf numFmtId="0" fontId="0" fillId="7" borderId="10" xfId="0" applyFill="1" applyBorder="1" applyAlignment="1" applyProtection="1">
      <protection hidden="1"/>
    </xf>
    <xf numFmtId="0" fontId="9" fillId="0" borderId="16" xfId="0" applyFont="1" applyBorder="1" applyAlignment="1" applyProtection="1">
      <alignment vertical="center" wrapText="1"/>
      <protection hidden="1"/>
    </xf>
    <xf numFmtId="0" fontId="0" fillId="0" borderId="16" xfId="0" applyFont="1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9" fontId="11" fillId="0" borderId="0" xfId="0" applyNumberFormat="1" applyFont="1" applyAlignment="1" applyProtection="1">
      <protection hidden="1"/>
    </xf>
    <xf numFmtId="178" fontId="0" fillId="0" borderId="0" xfId="0" applyNumberFormat="1" applyFill="1" applyBorder="1" applyAlignment="1" applyProtection="1">
      <protection hidden="1"/>
    </xf>
    <xf numFmtId="0" fontId="0" fillId="0" borderId="9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6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12" fillId="0" borderId="0" xfId="0" applyFont="1" applyFill="1" applyBorder="1" applyAlignment="1" applyProtection="1">
      <alignment horizontal="right"/>
      <protection hidden="1"/>
    </xf>
    <xf numFmtId="0" fontId="12" fillId="0" borderId="0" xfId="0" applyFont="1" applyFill="1" applyBorder="1" applyAlignment="1" applyProtection="1">
      <protection hidden="1"/>
    </xf>
    <xf numFmtId="0" fontId="0" fillId="0" borderId="9" xfId="0" applyBorder="1" applyAlignment="1" applyProtection="1">
      <protection hidden="1"/>
    </xf>
    <xf numFmtId="0" fontId="0" fillId="0" borderId="9" xfId="0" applyBorder="1" applyAlignment="1" applyProtection="1">
      <alignment vertical="center"/>
      <protection hidden="1"/>
    </xf>
    <xf numFmtId="178" fontId="0" fillId="0" borderId="21" xfId="0" applyNumberFormat="1" applyFill="1" applyBorder="1" applyAlignment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6" xfId="0" applyFill="1" applyBorder="1" applyAlignme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8" fillId="0" borderId="10" xfId="0" applyFont="1" applyBorder="1" applyAlignment="1" applyProtection="1">
      <alignment vertical="center"/>
      <protection hidden="1"/>
    </xf>
    <xf numFmtId="9" fontId="0" fillId="0" borderId="0" xfId="0" applyNumberFormat="1" applyAlignment="1" applyProtection="1"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18" fillId="0" borderId="1" xfId="0" applyFont="1" applyBorder="1" applyAlignment="1" applyProtection="1">
      <protection hidden="1"/>
    </xf>
    <xf numFmtId="0" fontId="19" fillId="0" borderId="0" xfId="0" applyFont="1" applyBorder="1" applyAlignment="1" applyProtection="1">
      <protection hidden="1"/>
    </xf>
    <xf numFmtId="0" fontId="19" fillId="0" borderId="22" xfId="0" applyFont="1" applyBorder="1" applyAlignment="1" applyProtection="1">
      <protection hidden="1"/>
    </xf>
    <xf numFmtId="0" fontId="21" fillId="0" borderId="2" xfId="0" applyFont="1" applyBorder="1" applyAlignment="1" applyProtection="1">
      <alignment horizontal="center" vertical="center"/>
      <protection hidden="1"/>
    </xf>
    <xf numFmtId="0" fontId="19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18" fillId="0" borderId="0" xfId="0" applyFont="1" applyBorder="1" applyAlignment="1" applyProtection="1">
      <alignment horizontal="left" vertical="center"/>
      <protection hidden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protection hidden="1"/>
    </xf>
    <xf numFmtId="0" fontId="21" fillId="0" borderId="4" xfId="0" applyFont="1" applyBorder="1" applyAlignment="1" applyProtection="1">
      <alignment horizontal="center" vertical="center"/>
      <protection hidden="1"/>
    </xf>
    <xf numFmtId="177" fontId="19" fillId="3" borderId="5" xfId="0" applyNumberFormat="1" applyFont="1" applyFill="1" applyBorder="1" applyAlignment="1" applyProtection="1">
      <alignment horizontal="right" vertical="center"/>
      <protection locked="0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right" vertical="center"/>
      <protection hidden="1"/>
    </xf>
    <xf numFmtId="0" fontId="21" fillId="0" borderId="8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22" xfId="0" applyFont="1" applyBorder="1" applyAlignment="1" applyProtection="1">
      <protection hidden="1"/>
    </xf>
    <xf numFmtId="0" fontId="24" fillId="8" borderId="25" xfId="0" applyFont="1" applyFill="1" applyBorder="1" applyAlignment="1" applyProtection="1">
      <alignment horizontal="centerContinuous" vertical="center"/>
      <protection hidden="1"/>
    </xf>
    <xf numFmtId="0" fontId="21" fillId="0" borderId="24" xfId="0" applyFont="1" applyBorder="1" applyAlignment="1" applyProtection="1">
      <alignment horizontal="center"/>
      <protection hidden="1"/>
    </xf>
    <xf numFmtId="0" fontId="19" fillId="0" borderId="26" xfId="0" applyFont="1" applyBorder="1" applyAlignment="1" applyProtection="1">
      <alignment horizontal="centerContinuous" vertical="center"/>
      <protection hidden="1"/>
    </xf>
    <xf numFmtId="0" fontId="26" fillId="4" borderId="27" xfId="0" applyFont="1" applyFill="1" applyBorder="1" applyAlignment="1" applyProtection="1">
      <alignment horizontal="center" vertical="center" wrapText="1"/>
      <protection hidden="1"/>
    </xf>
    <xf numFmtId="0" fontId="19" fillId="0" borderId="24" xfId="0" applyFont="1" applyBorder="1" applyAlignment="1" applyProtection="1">
      <alignment horizontal="centerContinuous" vertical="center"/>
      <protection hidden="1"/>
    </xf>
    <xf numFmtId="0" fontId="29" fillId="0" borderId="1" xfId="0" applyFont="1" applyBorder="1" applyAlignment="1" applyProtection="1">
      <alignment horizontal="right" vertical="center"/>
      <protection hidden="1"/>
    </xf>
    <xf numFmtId="0" fontId="30" fillId="0" borderId="23" xfId="0" applyFont="1" applyBorder="1" applyAlignment="1" applyProtection="1">
      <alignment horizontal="left" wrapText="1"/>
      <protection hidden="1"/>
    </xf>
    <xf numFmtId="0" fontId="30" fillId="0" borderId="11" xfId="0" applyFont="1" applyBorder="1" applyAlignment="1" applyProtection="1">
      <alignment horizontal="left" wrapText="1"/>
      <protection hidden="1"/>
    </xf>
    <xf numFmtId="0" fontId="30" fillId="0" borderId="11" xfId="0" applyFont="1" applyBorder="1" applyAlignment="1" applyProtection="1">
      <alignment horizontal="left" wrapText="1" shrinkToFit="1"/>
      <protection hidden="1"/>
    </xf>
    <xf numFmtId="0" fontId="21" fillId="5" borderId="12" xfId="0" applyFont="1" applyFill="1" applyBorder="1" applyAlignment="1" applyProtection="1">
      <alignment horizontal="center" vertical="center"/>
      <protection hidden="1"/>
    </xf>
    <xf numFmtId="178" fontId="22" fillId="5" borderId="13" xfId="0" applyNumberFormat="1" applyFont="1" applyFill="1" applyBorder="1" applyAlignment="1" applyProtection="1">
      <alignment horizontal="right" vertical="center"/>
      <protection hidden="1"/>
    </xf>
    <xf numFmtId="178" fontId="22" fillId="5" borderId="14" xfId="0" applyNumberFormat="1" applyFont="1" applyFill="1" applyBorder="1" applyAlignment="1" applyProtection="1">
      <alignment horizontal="right" vertical="center"/>
      <protection hidden="1"/>
    </xf>
    <xf numFmtId="178" fontId="31" fillId="5" borderId="14" xfId="0" applyNumberFormat="1" applyFont="1" applyFill="1" applyBorder="1" applyAlignment="1" applyProtection="1">
      <alignment horizontal="right" vertical="center" shrinkToFit="1"/>
      <protection hidden="1"/>
    </xf>
    <xf numFmtId="178" fontId="22" fillId="5" borderId="15" xfId="0" applyNumberFormat="1" applyFont="1" applyFill="1" applyBorder="1" applyAlignment="1" applyProtection="1">
      <alignment horizontal="right" vertical="center"/>
      <protection hidden="1"/>
    </xf>
    <xf numFmtId="0" fontId="29" fillId="0" borderId="22" xfId="0" applyFont="1" applyBorder="1" applyAlignment="1" applyProtection="1">
      <alignment horizontal="left" vertical="center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178" fontId="18" fillId="0" borderId="16" xfId="0" applyNumberFormat="1" applyFont="1" applyFill="1" applyBorder="1" applyAlignment="1" applyProtection="1">
      <alignment horizontal="right" vertical="center"/>
      <protection hidden="1"/>
    </xf>
    <xf numFmtId="0" fontId="21" fillId="6" borderId="4" xfId="0" applyFont="1" applyFill="1" applyBorder="1" applyAlignment="1" applyProtection="1">
      <alignment horizontal="center" vertical="center"/>
      <protection hidden="1"/>
    </xf>
    <xf numFmtId="178" fontId="22" fillId="6" borderId="13" xfId="0" applyNumberFormat="1" applyFont="1" applyFill="1" applyBorder="1" applyAlignment="1" applyProtection="1">
      <alignment horizontal="right" vertical="center"/>
      <protection hidden="1"/>
    </xf>
    <xf numFmtId="178" fontId="22" fillId="6" borderId="14" xfId="0" applyNumberFormat="1" applyFont="1" applyFill="1" applyBorder="1" applyAlignment="1" applyProtection="1">
      <alignment horizontal="right" vertical="center"/>
      <protection hidden="1"/>
    </xf>
    <xf numFmtId="178" fontId="31" fillId="6" borderId="14" xfId="0" applyNumberFormat="1" applyFont="1" applyFill="1" applyBorder="1" applyAlignment="1" applyProtection="1">
      <alignment horizontal="right" vertical="center" shrinkToFit="1"/>
      <protection hidden="1"/>
    </xf>
    <xf numFmtId="178" fontId="22" fillId="6" borderId="15" xfId="0" applyNumberFormat="1" applyFont="1" applyFill="1" applyBorder="1" applyAlignment="1" applyProtection="1">
      <alignment horizontal="right" vertical="center"/>
      <protection hidden="1"/>
    </xf>
    <xf numFmtId="0" fontId="18" fillId="0" borderId="0" xfId="0" applyFont="1" applyBorder="1" applyAlignment="1" applyProtection="1">
      <protection hidden="1"/>
    </xf>
    <xf numFmtId="0" fontId="18" fillId="0" borderId="17" xfId="0" applyFont="1" applyBorder="1" applyAlignment="1" applyProtection="1">
      <protection hidden="1"/>
    </xf>
    <xf numFmtId="0" fontId="18" fillId="0" borderId="18" xfId="0" applyFont="1" applyBorder="1" applyAlignment="1" applyProtection="1">
      <protection hidden="1"/>
    </xf>
    <xf numFmtId="0" fontId="18" fillId="0" borderId="18" xfId="0" applyFont="1" applyFill="1" applyBorder="1" applyAlignment="1" applyProtection="1">
      <protection hidden="1"/>
    </xf>
    <xf numFmtId="0" fontId="18" fillId="0" borderId="19" xfId="0" applyFont="1" applyBorder="1" applyAlignment="1" applyProtection="1">
      <protection hidden="1"/>
    </xf>
    <xf numFmtId="0" fontId="33" fillId="0" borderId="30" xfId="0" applyFont="1" applyBorder="1" applyAlignment="1" applyProtection="1">
      <alignment horizontal="center" wrapText="1"/>
      <protection hidden="1"/>
    </xf>
    <xf numFmtId="0" fontId="30" fillId="0" borderId="31" xfId="0" applyFont="1" applyBorder="1" applyAlignment="1" applyProtection="1">
      <alignment horizontal="left" wrapText="1"/>
      <protection hidden="1"/>
    </xf>
    <xf numFmtId="0" fontId="30" fillId="0" borderId="32" xfId="0" applyFont="1" applyBorder="1" applyAlignment="1" applyProtection="1">
      <alignment horizontal="left" wrapText="1"/>
      <protection hidden="1"/>
    </xf>
    <xf numFmtId="0" fontId="0" fillId="0" borderId="29" xfId="0" applyBorder="1" applyAlignment="1" applyProtection="1">
      <protection hidden="1"/>
    </xf>
    <xf numFmtId="178" fontId="35" fillId="5" borderId="14" xfId="0" applyNumberFormat="1" applyFont="1" applyFill="1" applyBorder="1" applyAlignment="1" applyProtection="1">
      <alignment horizontal="right" vertical="center" shrinkToFit="1"/>
      <protection hidden="1"/>
    </xf>
    <xf numFmtId="178" fontId="35" fillId="6" borderId="14" xfId="0" applyNumberFormat="1" applyFont="1" applyFill="1" applyBorder="1" applyAlignment="1" applyProtection="1">
      <alignment horizontal="right" vertical="center" shrinkToFit="1"/>
      <protection hidden="1"/>
    </xf>
    <xf numFmtId="0" fontId="32" fillId="0" borderId="28" xfId="0" applyFont="1" applyBorder="1" applyAlignment="1" applyProtection="1">
      <alignment horizontal="left" wrapText="1" shrinkToFit="1"/>
      <protection hidden="1"/>
    </xf>
    <xf numFmtId="0" fontId="34" fillId="0" borderId="11" xfId="0" applyFont="1" applyBorder="1" applyAlignment="1" applyProtection="1">
      <alignment horizontal="left" wrapText="1"/>
      <protection hidden="1"/>
    </xf>
    <xf numFmtId="0" fontId="32" fillId="0" borderId="11" xfId="0" applyFont="1" applyBorder="1" applyAlignment="1" applyProtection="1">
      <alignment horizontal="left" vertical="center" wrapText="1"/>
      <protection hidden="1"/>
    </xf>
    <xf numFmtId="0" fontId="30" fillId="0" borderId="33" xfId="0" applyFont="1" applyBorder="1" applyAlignment="1" applyProtection="1">
      <alignment horizontal="left"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2" borderId="22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top" textRotation="255"/>
      <protection hidden="1"/>
    </xf>
    <xf numFmtId="0" fontId="0" fillId="0" borderId="16" xfId="0" applyBorder="1" applyAlignment="1" applyProtection="1">
      <alignment horizontal="center" vertical="top" textRotation="255"/>
      <protection hidden="1"/>
    </xf>
    <xf numFmtId="0" fontId="0" fillId="0" borderId="9" xfId="0" applyBorder="1" applyAlignment="1" applyProtection="1">
      <alignment horizontal="center" vertical="top" textRotation="255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shrinkToFit="1"/>
      <protection hidden="1"/>
    </xf>
  </cellXfs>
  <cellStyles count="2">
    <cellStyle name="桁区切り" xfId="1" builtinId="6"/>
    <cellStyle name="標準" xfId="0" builtinId="0"/>
  </cellStyles>
  <dxfs count="12">
    <dxf>
      <font>
        <color rgb="FFFF0582"/>
      </font>
      <fill>
        <patternFill patternType="none">
          <bgColor auto="1"/>
        </patternFill>
      </fill>
    </dxf>
    <dxf>
      <font>
        <color rgb="FFFF0582"/>
      </font>
      <fill>
        <patternFill>
          <bgColor rgb="FF8CE4E2"/>
        </patternFill>
      </fill>
      <border>
        <left style="dashed">
          <color auto="1"/>
        </left>
        <right style="dashed">
          <color rgb="FFFF0582"/>
        </right>
        <vertical/>
        <horizontal/>
      </border>
    </dxf>
    <dxf>
      <font>
        <color rgb="FFFF0582"/>
      </font>
      <fill>
        <patternFill>
          <bgColor rgb="FFE0F8F7"/>
        </patternFill>
      </fill>
      <border>
        <left style="dashed">
          <color auto="1"/>
        </left>
        <right style="dashed">
          <color rgb="FFFF0582"/>
        </right>
        <vertical/>
        <horizontal/>
      </border>
    </dxf>
    <dxf>
      <border>
        <left style="dotted">
          <color rgb="FFFF0582"/>
        </left>
        <right style="dotted">
          <color rgb="FFFF0582"/>
        </right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</border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>
          <bgColor rgb="FF8CE4E2"/>
        </patternFill>
      </fill>
      <border>
        <left style="dashed">
          <color auto="1"/>
        </left>
        <right style="dashed">
          <color rgb="FFFF0582"/>
        </right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>
          <bgColor rgb="FFE0F8F7"/>
        </patternFill>
      </fill>
      <border>
        <left style="dashed">
          <color auto="1"/>
        </left>
        <right style="dashed">
          <color rgb="FFFF0582"/>
        </right>
        <vertical/>
        <horizontal/>
      </border>
    </dxf>
    <dxf>
      <font>
        <color rgb="FFFF0582"/>
      </font>
      <border>
        <left style="dashed">
          <color rgb="FFFF0582"/>
        </left>
        <right style="dashed">
          <color rgb="FFFF0582"/>
        </right>
        <vertical/>
        <horizontal/>
      </border>
    </dxf>
    <dxf>
      <font>
        <color auto="1"/>
      </font>
      <border>
        <left style="dashed">
          <color auto="1"/>
        </left>
        <right style="dashed">
          <color rgb="FFFF0582"/>
        </right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</border>
    </dxf>
  </dxfs>
  <tableStyles count="0" defaultTableStyle="TableStyleMedium2" defaultPivotStyle="PivotStyleLight16"/>
  <colors>
    <mruColors>
      <color rgb="FF8CE4E2"/>
      <color rgb="FFFF0582"/>
      <color rgb="FFE0F8F7"/>
      <color rgb="FFFFCD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532933</xdr:colOff>
      <xdr:row>1</xdr:row>
      <xdr:rowOff>139212</xdr:rowOff>
    </xdr:from>
    <xdr:to>
      <xdr:col>8</xdr:col>
      <xdr:colOff>1060363</xdr:colOff>
      <xdr:row>1</xdr:row>
      <xdr:rowOff>809351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0769885">
          <a:off x="8690815" y="374536"/>
          <a:ext cx="527430" cy="670139"/>
        </a:xfrm>
        <a:prstGeom prst="rect">
          <a:avLst/>
        </a:prstGeom>
      </xdr:spPr>
    </xdr:pic>
    <xdr:clientData/>
  </xdr:twoCellAnchor>
  <xdr:twoCellAnchor editAs="oneCell">
    <xdr:from>
      <xdr:col>8</xdr:col>
      <xdr:colOff>980278</xdr:colOff>
      <xdr:row>1</xdr:row>
      <xdr:rowOff>494136</xdr:rowOff>
    </xdr:from>
    <xdr:to>
      <xdr:col>9</xdr:col>
      <xdr:colOff>122331</xdr:colOff>
      <xdr:row>1</xdr:row>
      <xdr:rowOff>774275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967274">
          <a:off x="9138160" y="729460"/>
          <a:ext cx="565199" cy="280139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1019175</xdr:colOff>
      <xdr:row>2</xdr:row>
      <xdr:rowOff>19050</xdr:rowOff>
    </xdr:from>
    <xdr:to>
      <xdr:col>7</xdr:col>
      <xdr:colOff>1047359</xdr:colOff>
      <xdr:row>5</xdr:row>
      <xdr:rowOff>1284952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5850" y="1190625"/>
          <a:ext cx="4285859" cy="254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35"/>
  <sheetViews>
    <sheetView showGridLines="0" tabSelected="1" zoomScale="85" zoomScaleNormal="85" zoomScaleSheetLayoutView="100" workbookViewId="0">
      <selection activeCell="D4" sqref="D4"/>
    </sheetView>
  </sheetViews>
  <sheetFormatPr defaultRowHeight="18.75" outlineLevelCol="1" x14ac:dyDescent="0.4"/>
  <cols>
    <col min="1" max="2" width="3.625" style="1" customWidth="1"/>
    <col min="3" max="3" width="25" style="1" customWidth="1"/>
    <col min="4" max="9" width="18.625" style="1" customWidth="1"/>
    <col min="10" max="10" width="6.625" style="1" customWidth="1"/>
    <col min="11" max="12" width="3.625" style="1" customWidth="1"/>
    <col min="13" max="13" width="7.375" style="1" customWidth="1"/>
    <col min="14" max="14" width="7.75" style="1" hidden="1" customWidth="1" outlineLevel="1"/>
    <col min="15" max="15" width="15.625" style="1" hidden="1" customWidth="1" outlineLevel="1"/>
    <col min="16" max="16" width="10.375" style="1" hidden="1" customWidth="1" outlineLevel="1"/>
    <col min="17" max="17" width="18.75" style="1" hidden="1" customWidth="1" outlineLevel="1"/>
    <col min="18" max="18" width="18.25" style="1" hidden="1" customWidth="1" outlineLevel="1"/>
    <col min="19" max="19" width="18.875" style="1" hidden="1" customWidth="1" outlineLevel="1"/>
    <col min="20" max="20" width="9" style="1" customWidth="1" collapsed="1"/>
    <col min="21" max="21" width="10.875" style="1" customWidth="1"/>
    <col min="22" max="23" width="9" style="1" customWidth="1"/>
    <col min="24" max="24" width="18.375" style="1" customWidth="1"/>
    <col min="25" max="16384" width="9" style="1"/>
  </cols>
  <sheetData>
    <row r="2" spans="1:19" ht="73.5" customHeight="1" x14ac:dyDescent="0.5">
      <c r="B2" s="97" t="s">
        <v>42</v>
      </c>
      <c r="C2" s="98"/>
      <c r="D2" s="98"/>
      <c r="E2" s="98"/>
      <c r="F2" s="98"/>
      <c r="G2" s="98"/>
      <c r="H2" s="98"/>
      <c r="I2" s="98"/>
      <c r="J2" s="99"/>
      <c r="K2" s="44"/>
      <c r="L2" s="3"/>
      <c r="N2" s="2" t="s">
        <v>0</v>
      </c>
      <c r="R2" s="3"/>
    </row>
    <row r="3" spans="1:19" ht="51" customHeight="1" thickBot="1" x14ac:dyDescent="0.45">
      <c r="B3" s="45"/>
      <c r="C3" s="46" t="s">
        <v>43</v>
      </c>
      <c r="D3" s="46"/>
      <c r="E3" s="46"/>
      <c r="F3" s="46"/>
      <c r="G3" s="46"/>
      <c r="H3" s="46"/>
      <c r="I3" s="46"/>
      <c r="J3" s="47"/>
      <c r="K3" s="4"/>
      <c r="L3" s="5"/>
      <c r="M3" s="5"/>
    </row>
    <row r="4" spans="1:19" ht="24.95" customHeight="1" thickTop="1" x14ac:dyDescent="0.4">
      <c r="B4" s="45"/>
      <c r="C4" s="48" t="s">
        <v>1</v>
      </c>
      <c r="D4" s="49" t="s">
        <v>2</v>
      </c>
      <c r="E4" s="50" t="s">
        <v>44</v>
      </c>
      <c r="F4" s="50"/>
      <c r="G4" s="50"/>
      <c r="H4" s="51"/>
      <c r="I4" s="51"/>
      <c r="J4" s="52"/>
      <c r="K4" s="5"/>
      <c r="L4" s="5"/>
      <c r="M4" s="5"/>
      <c r="N4" s="6" t="s">
        <v>3</v>
      </c>
      <c r="P4" s="7"/>
      <c r="Q4" s="3"/>
      <c r="R4" s="3"/>
      <c r="S4" s="3"/>
    </row>
    <row r="5" spans="1:19" ht="24.75" customHeight="1" thickBot="1" x14ac:dyDescent="0.45">
      <c r="B5" s="45"/>
      <c r="C5" s="53" t="s">
        <v>4</v>
      </c>
      <c r="D5" s="54">
        <v>20</v>
      </c>
      <c r="E5" s="50" t="s">
        <v>45</v>
      </c>
      <c r="F5" s="50"/>
      <c r="G5" s="50"/>
      <c r="H5" s="55"/>
      <c r="I5" s="55"/>
      <c r="J5" s="52"/>
      <c r="K5" s="5"/>
      <c r="L5" s="5"/>
      <c r="M5" s="5"/>
      <c r="N5" s="103" t="s">
        <v>1</v>
      </c>
      <c r="O5" s="105" t="s">
        <v>5</v>
      </c>
      <c r="P5" s="8"/>
      <c r="Q5" s="3"/>
    </row>
    <row r="6" spans="1:19" ht="102" customHeight="1" thickTop="1" thickBot="1" x14ac:dyDescent="0.45">
      <c r="B6" s="45"/>
      <c r="C6" s="56"/>
      <c r="D6" s="57"/>
      <c r="E6" s="107"/>
      <c r="F6" s="107"/>
      <c r="G6" s="107"/>
      <c r="H6" s="107"/>
      <c r="I6" s="58"/>
      <c r="J6" s="59"/>
      <c r="K6" s="5"/>
      <c r="L6" s="5"/>
      <c r="M6" s="5"/>
      <c r="N6" s="104"/>
      <c r="O6" s="106"/>
      <c r="P6" s="9"/>
      <c r="Q6" s="3" t="s">
        <v>40</v>
      </c>
    </row>
    <row r="7" spans="1:19" ht="31.5" customHeight="1" x14ac:dyDescent="0.4">
      <c r="B7" s="45"/>
      <c r="C7" s="56"/>
      <c r="D7" s="58"/>
      <c r="E7" s="60" t="s">
        <v>46</v>
      </c>
      <c r="F7" s="60"/>
      <c r="G7" s="60"/>
      <c r="H7" s="60"/>
      <c r="I7" s="58"/>
      <c r="J7" s="59"/>
      <c r="K7" s="5"/>
      <c r="L7" s="5"/>
      <c r="M7" s="5"/>
      <c r="N7" s="10" t="s">
        <v>2</v>
      </c>
      <c r="O7" s="11">
        <v>1380</v>
      </c>
      <c r="P7" s="9"/>
      <c r="Q7" s="93" t="s">
        <v>51</v>
      </c>
      <c r="R7" s="88" t="s">
        <v>49</v>
      </c>
      <c r="S7" s="90"/>
    </row>
    <row r="8" spans="1:19" ht="30" customHeight="1" thickBot="1" x14ac:dyDescent="0.45">
      <c r="B8" s="45"/>
      <c r="C8" s="56"/>
      <c r="D8" s="61"/>
      <c r="E8" s="62"/>
      <c r="F8" s="63" t="s">
        <v>47</v>
      </c>
      <c r="G8" s="63" t="s">
        <v>47</v>
      </c>
      <c r="H8" s="64"/>
      <c r="I8" s="58"/>
      <c r="J8" s="59"/>
      <c r="K8" s="5"/>
      <c r="L8" s="5"/>
      <c r="M8" s="5"/>
      <c r="N8" s="10" t="s">
        <v>6</v>
      </c>
      <c r="O8" s="11">
        <v>7280</v>
      </c>
      <c r="P8" s="9"/>
      <c r="Q8" s="87" t="s">
        <v>50</v>
      </c>
      <c r="R8" s="89" t="s">
        <v>53</v>
      </c>
      <c r="S8" s="96" t="s">
        <v>54</v>
      </c>
    </row>
    <row r="9" spans="1:19" ht="32.25" customHeight="1" thickBot="1" x14ac:dyDescent="0.45">
      <c r="B9" s="65"/>
      <c r="C9" s="56" t="s">
        <v>41</v>
      </c>
      <c r="D9" s="66" t="s">
        <v>7</v>
      </c>
      <c r="E9" s="67" t="s">
        <v>8</v>
      </c>
      <c r="F9" s="94" t="str">
        <f>IF($D$4=N7,Q7,Q8)</f>
        <v>(2) -1令和8年4月から
　　　令和9年3月まで</v>
      </c>
      <c r="G9" s="95" t="str">
        <f>IF($D$4=N7,"",R7)</f>
        <v/>
      </c>
      <c r="H9" s="66" t="str">
        <f>IF($D$4=N7,S8,IF($D$4=N8,R8,IF($D$4=N9,R8,IF($D$4=N10,R8,IF($D$4=N11,R8,IF($D$4=N12,R8,IF($D$4=N13,R8,IF($D$4=N14,R8,""))))))))</f>
        <v>(２)-2 令和9年4月から
　　 令和10年3月まで</v>
      </c>
      <c r="I9" s="68" t="s">
        <v>52</v>
      </c>
      <c r="J9" s="52"/>
      <c r="K9" s="5"/>
      <c r="L9" s="5"/>
      <c r="M9" s="5"/>
      <c r="N9" s="10" t="s">
        <v>9</v>
      </c>
      <c r="O9" s="11">
        <v>13260</v>
      </c>
      <c r="P9" s="9"/>
      <c r="Q9" s="1" t="s">
        <v>48</v>
      </c>
    </row>
    <row r="10" spans="1:19" ht="30" customHeight="1" thickTop="1" thickBot="1" x14ac:dyDescent="0.45">
      <c r="B10" s="65"/>
      <c r="C10" s="69" t="s">
        <v>10</v>
      </c>
      <c r="D10" s="70">
        <f>ROUNDDOWN((S31*1.1),0)</f>
        <v>1870</v>
      </c>
      <c r="E10" s="71">
        <f>ROUNDDOWN((S70*1.1),0)</f>
        <v>2156</v>
      </c>
      <c r="F10" s="72">
        <f>IF(OR($D$4=N7,$D$4=N8,$D$4=N9,$D$4=N10,$D$4=N11,$D$4=N12,$D$4=N13,$D$4=N14),ROUNDDOWN((S109*1.1),0),"→→→→→→→")</f>
        <v>638</v>
      </c>
      <c r="G10" s="91" t="str">
        <f>IF(OR($D$4=N8,$D$4=N9,$D$4=N10,$D$4=N11,$D$4=N12,$D$4=N13,$D$4=N14),ROUNDDOWN((S148*1.1),0),"→→→→→→→")</f>
        <v>→→→→→→→</v>
      </c>
      <c r="H10" s="71">
        <f>ROUNDDOWN((S187*1.1),0)</f>
        <v>2376</v>
      </c>
      <c r="I10" s="73">
        <f>ROUNDDOWN((S226*1.1),0)</f>
        <v>2596</v>
      </c>
      <c r="J10" s="74" t="s">
        <v>11</v>
      </c>
      <c r="K10" s="5"/>
      <c r="L10" s="5"/>
      <c r="M10" s="5"/>
      <c r="N10" s="10" t="s">
        <v>12</v>
      </c>
      <c r="O10" s="11">
        <v>26520</v>
      </c>
      <c r="P10" s="9"/>
    </row>
    <row r="11" spans="1:19" ht="30" customHeight="1" thickTop="1" thickBot="1" x14ac:dyDescent="0.45">
      <c r="B11" s="65"/>
      <c r="C11" s="75" t="s">
        <v>13</v>
      </c>
      <c r="D11" s="76">
        <f>ROUNDDOWN((S40*1.1),0)</f>
        <v>1687</v>
      </c>
      <c r="E11" s="76">
        <f>ROUNDDOWN((S79*1.1),0)</f>
        <v>1687</v>
      </c>
      <c r="F11" s="76">
        <f>ROUNDDOWN((S118*1.1),0)</f>
        <v>1687</v>
      </c>
      <c r="G11" s="76" t="str">
        <f>IF(OR($D$4=N8,$D$4=N9,$D$4=N10,$D$4=N11,$D$4=N12,$D$4=N13,$D$4=N14),ROUNDDOWN((S118*1.1),0),"→→→→→→→→→")</f>
        <v>→→→→→→→→→</v>
      </c>
      <c r="H11" s="76">
        <f>ROUNDDOWN((S196*1.1),0)</f>
        <v>1687</v>
      </c>
      <c r="I11" s="76">
        <f>ROUNDDOWN((S235*1.1),0)</f>
        <v>1687</v>
      </c>
      <c r="J11" s="74" t="s">
        <v>11</v>
      </c>
      <c r="K11" s="5"/>
      <c r="L11" s="5"/>
      <c r="M11" s="5"/>
      <c r="N11" s="10" t="s">
        <v>14</v>
      </c>
      <c r="O11" s="11">
        <v>61100</v>
      </c>
      <c r="P11" s="9"/>
    </row>
    <row r="12" spans="1:19" ht="39.75" customHeight="1" thickTop="1" thickBot="1" x14ac:dyDescent="0.45">
      <c r="B12" s="45"/>
      <c r="C12" s="77" t="s">
        <v>15</v>
      </c>
      <c r="D12" s="78">
        <f>SUM(D10:D11)</f>
        <v>3557</v>
      </c>
      <c r="E12" s="79">
        <f t="shared" ref="E12:I12" si="0">SUM(E10:E11)</f>
        <v>3843</v>
      </c>
      <c r="F12" s="80">
        <f>IF(OR($D$4=N7,$D$4=N8,$D$4=N9,$D$4=N10,$D$4=N11,$D$4=N12,$D$4=N13,$D$4=N14),SUM(F10:F11),"→→→→→→→")</f>
        <v>2325</v>
      </c>
      <c r="G12" s="92" t="str">
        <f>IF(OR($D$4=N8,$D$4=N9,$D$4=N10,$D$4=N11,$D$4=N12,$D$4=N13,$D$4=N14),SUM(G10:G11),"→→→→→→→")</f>
        <v>→→→→→→→</v>
      </c>
      <c r="H12" s="79">
        <f t="shared" si="0"/>
        <v>4063</v>
      </c>
      <c r="I12" s="81">
        <f t="shared" si="0"/>
        <v>4283</v>
      </c>
      <c r="J12" s="74" t="s">
        <v>11</v>
      </c>
      <c r="K12" s="5"/>
      <c r="L12" s="5"/>
      <c r="M12" s="5"/>
      <c r="N12" s="10" t="s">
        <v>16</v>
      </c>
      <c r="O12" s="11">
        <v>119600</v>
      </c>
      <c r="P12" s="9"/>
    </row>
    <row r="13" spans="1:19" ht="19.5" thickTop="1" x14ac:dyDescent="0.4">
      <c r="B13" s="45"/>
      <c r="C13" s="82"/>
      <c r="D13" s="82"/>
      <c r="E13" s="82"/>
      <c r="F13" s="82"/>
      <c r="G13" s="82"/>
      <c r="H13" s="82"/>
      <c r="I13" s="82"/>
      <c r="J13" s="52"/>
      <c r="K13" s="5"/>
      <c r="L13" s="5"/>
      <c r="M13" s="5"/>
      <c r="N13" s="10" t="s">
        <v>17</v>
      </c>
      <c r="O13" s="11">
        <v>324220</v>
      </c>
      <c r="P13" s="9"/>
    </row>
    <row r="14" spans="1:19" ht="19.5" thickBot="1" x14ac:dyDescent="0.45">
      <c r="B14" s="83"/>
      <c r="C14" s="84"/>
      <c r="D14" s="84"/>
      <c r="E14" s="84"/>
      <c r="F14" s="84"/>
      <c r="G14" s="85"/>
      <c r="H14" s="84"/>
      <c r="I14" s="84"/>
      <c r="J14" s="86"/>
      <c r="K14" s="3"/>
      <c r="L14" s="5"/>
      <c r="M14" s="5"/>
      <c r="N14" s="10" t="s">
        <v>18</v>
      </c>
      <c r="O14" s="11">
        <v>626600</v>
      </c>
      <c r="P14" s="9"/>
    </row>
    <row r="15" spans="1:19" ht="19.5" thickTop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12"/>
      <c r="L15" s="5"/>
      <c r="M15" s="5"/>
      <c r="O15" s="13"/>
      <c r="P15" s="13"/>
    </row>
    <row r="16" spans="1:19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5"/>
      <c r="L16" s="5"/>
      <c r="M16" s="5"/>
      <c r="N16" s="10"/>
      <c r="O16" s="14" t="s">
        <v>19</v>
      </c>
      <c r="P16" s="15"/>
      <c r="Q16" s="16"/>
      <c r="R16" s="17">
        <v>0</v>
      </c>
      <c r="S16" s="18">
        <f>VLOOKUP(D4,N7:O14,2,FALSE)</f>
        <v>1380</v>
      </c>
    </row>
    <row r="17" spans="1:19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5"/>
      <c r="L17" s="5"/>
      <c r="M17" s="5"/>
      <c r="N17" s="100" t="s">
        <v>20</v>
      </c>
      <c r="O17" s="19" t="s">
        <v>21</v>
      </c>
      <c r="P17" s="10" t="s">
        <v>22</v>
      </c>
      <c r="Q17" s="20">
        <v>10</v>
      </c>
      <c r="R17" s="21">
        <f>IF($D$4="13,20,25㎜(一般家庭用)",IF($D$5&gt;=12,12,$D$5),0)</f>
        <v>12</v>
      </c>
      <c r="S17" s="20">
        <f>Q17*R17</f>
        <v>120</v>
      </c>
    </row>
    <row r="18" spans="1:19" ht="18.7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5"/>
      <c r="L18" s="5"/>
      <c r="M18" s="5"/>
      <c r="N18" s="101"/>
      <c r="O18" s="22"/>
      <c r="P18" s="10" t="s">
        <v>23</v>
      </c>
      <c r="Q18" s="20">
        <v>25</v>
      </c>
      <c r="R18" s="21">
        <f>IF($D$4="13,20,25㎜(一般家庭用)",IF($D$5&lt;=12,0,IF($D$5&gt;=20,8,$D$5-12)),0)</f>
        <v>8</v>
      </c>
      <c r="S18" s="20">
        <f>Q18*R18</f>
        <v>200</v>
      </c>
    </row>
    <row r="19" spans="1:19" ht="18.7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5"/>
      <c r="L19" s="5"/>
      <c r="M19" s="5"/>
      <c r="N19" s="101"/>
      <c r="O19" s="22"/>
      <c r="P19" s="10" t="s">
        <v>24</v>
      </c>
      <c r="Q19" s="20">
        <v>135</v>
      </c>
      <c r="R19" s="21">
        <f>IF($D$4="13,20,25㎜(一般家庭用)",IF($D$5&lt;=20,0,IF($D$5&gt;=40,20,$D$5-20)),0)</f>
        <v>0</v>
      </c>
      <c r="S19" s="20">
        <f>Q19*R19</f>
        <v>0</v>
      </c>
    </row>
    <row r="20" spans="1:19" ht="18.7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5"/>
      <c r="L20" s="5"/>
      <c r="M20" s="5"/>
      <c r="N20" s="101"/>
      <c r="O20" s="22"/>
      <c r="P20" s="10" t="s">
        <v>25</v>
      </c>
      <c r="Q20" s="20">
        <v>195</v>
      </c>
      <c r="R20" s="21">
        <f>IF($D$4="13,20,25㎜(一般家庭用)",IF($D$5&lt;=40,0,IF($D$5&gt;=60,20,$D$5-40)),0)</f>
        <v>0</v>
      </c>
      <c r="S20" s="20">
        <f>Q20*R20</f>
        <v>0</v>
      </c>
    </row>
    <row r="21" spans="1:19" ht="18.7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01"/>
      <c r="O21" s="22"/>
      <c r="P21" s="10" t="s">
        <v>26</v>
      </c>
      <c r="Q21" s="20">
        <v>215</v>
      </c>
      <c r="R21" s="21">
        <f>IF($D$4="13,20,25㎜(一般家庭用)",IF($D$5&lt;=60,0,IF($D$5&gt;=100,40,$D$5-60)),0)</f>
        <v>0</v>
      </c>
      <c r="S21" s="20">
        <f t="shared" ref="S21:S30" si="1">Q21*R21</f>
        <v>0</v>
      </c>
    </row>
    <row r="22" spans="1:19" ht="18.7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01"/>
      <c r="O22" s="22"/>
      <c r="P22" s="10" t="s">
        <v>27</v>
      </c>
      <c r="Q22" s="20">
        <v>270</v>
      </c>
      <c r="R22" s="21">
        <f>IF($D$4="13,20,25㎜(一般家庭用)",IF($D$5&lt;=100,0,IF($D$5&gt;=600,500,$D$5-100)),0)</f>
        <v>0</v>
      </c>
      <c r="S22" s="20">
        <f t="shared" si="1"/>
        <v>0</v>
      </c>
    </row>
    <row r="23" spans="1:19" ht="18.75" customHeight="1" x14ac:dyDescent="0.4">
      <c r="K23" s="3"/>
      <c r="L23" s="3"/>
      <c r="M23" s="3"/>
      <c r="N23" s="101"/>
      <c r="O23" s="23"/>
      <c r="P23" s="24" t="s">
        <v>28</v>
      </c>
      <c r="Q23" s="20">
        <v>320</v>
      </c>
      <c r="R23" s="21">
        <f>IF($D$4="13,20,25㎜(一般家庭用)",IF($D$5&lt;=600,0,IF($D$5&gt;=2000,1400,$D$5-600)),0)</f>
        <v>0</v>
      </c>
      <c r="S23" s="20">
        <f t="shared" si="1"/>
        <v>0</v>
      </c>
    </row>
    <row r="24" spans="1:19" ht="18.75" customHeight="1" x14ac:dyDescent="0.4">
      <c r="C24" s="25"/>
      <c r="D24" s="26"/>
      <c r="E24" s="26"/>
      <c r="F24" s="26"/>
      <c r="G24" s="26"/>
      <c r="H24" s="26"/>
      <c r="I24" s="26"/>
      <c r="L24" s="3"/>
      <c r="M24" s="3"/>
      <c r="N24" s="101"/>
      <c r="O24" s="27"/>
      <c r="P24" s="28" t="s">
        <v>29</v>
      </c>
      <c r="Q24" s="20">
        <v>340</v>
      </c>
      <c r="R24" s="21">
        <f>IF($D$4="13,20,25㎜(一般家庭用)",IF($D$5&gt;=2001,$D$5-2000,0),0)</f>
        <v>0</v>
      </c>
      <c r="S24" s="20">
        <f t="shared" si="1"/>
        <v>0</v>
      </c>
    </row>
    <row r="25" spans="1:19" ht="18.75" customHeight="1" x14ac:dyDescent="0.4">
      <c r="C25" s="25"/>
      <c r="D25" s="26"/>
      <c r="E25" s="26"/>
      <c r="F25" s="26"/>
      <c r="G25" s="26"/>
      <c r="H25" s="26"/>
      <c r="I25" s="26"/>
      <c r="L25" s="3"/>
      <c r="M25" s="3"/>
      <c r="N25" s="101"/>
      <c r="O25" s="29" t="s">
        <v>30</v>
      </c>
      <c r="P25" s="10" t="s">
        <v>31</v>
      </c>
      <c r="Q25" s="20">
        <v>135</v>
      </c>
      <c r="R25" s="21">
        <f>IF($D$4="13,20,25㎜(一般家庭用)",0,IF($D$5&gt;=40,40,$D$5))</f>
        <v>0</v>
      </c>
      <c r="S25" s="20">
        <f>Q25*R25</f>
        <v>0</v>
      </c>
    </row>
    <row r="26" spans="1:19" ht="18.75" customHeight="1" x14ac:dyDescent="0.4">
      <c r="C26" s="25"/>
      <c r="D26" s="26"/>
      <c r="E26" s="26"/>
      <c r="F26" s="26"/>
      <c r="G26" s="26"/>
      <c r="H26" s="26"/>
      <c r="I26" s="26"/>
      <c r="L26" s="3"/>
      <c r="M26" s="3"/>
      <c r="N26" s="101"/>
      <c r="O26" s="30"/>
      <c r="P26" s="10" t="s">
        <v>25</v>
      </c>
      <c r="Q26" s="20">
        <v>195</v>
      </c>
      <c r="R26" s="21">
        <f>IF($D$4="13,20,25㎜(一般家庭用)",0,IF($D$5&lt;=40,0,IF($D$5&gt;=60,20,$D$5-40)))</f>
        <v>0</v>
      </c>
      <c r="S26" s="20">
        <f t="shared" si="1"/>
        <v>0</v>
      </c>
    </row>
    <row r="27" spans="1:19" ht="18.75" customHeight="1" x14ac:dyDescent="0.4">
      <c r="C27" s="25"/>
      <c r="D27" s="26"/>
      <c r="E27" s="26"/>
      <c r="F27" s="26"/>
      <c r="G27" s="26"/>
      <c r="H27" s="26"/>
      <c r="I27" s="26"/>
      <c r="L27" s="3"/>
      <c r="M27" s="3"/>
      <c r="N27" s="101"/>
      <c r="O27" s="30"/>
      <c r="P27" s="10" t="s">
        <v>26</v>
      </c>
      <c r="Q27" s="20">
        <v>215</v>
      </c>
      <c r="R27" s="21">
        <f>IF($D$4="13,20,25㎜(一般家庭用)",0,IF($D$5&lt;=60,0,IF($D$5&gt;=100,40,$D$5-60)))</f>
        <v>0</v>
      </c>
      <c r="S27" s="20">
        <f t="shared" si="1"/>
        <v>0</v>
      </c>
    </row>
    <row r="28" spans="1:19" ht="18.75" customHeight="1" x14ac:dyDescent="0.4">
      <c r="B28" s="5"/>
      <c r="C28" s="5"/>
      <c r="D28" s="5"/>
      <c r="E28" s="5"/>
      <c r="F28" s="5"/>
      <c r="G28" s="5"/>
      <c r="H28" s="5"/>
      <c r="I28" s="5"/>
      <c r="J28" s="5"/>
      <c r="L28" s="3"/>
      <c r="M28" s="3"/>
      <c r="N28" s="101"/>
      <c r="O28" s="30"/>
      <c r="P28" s="10" t="s">
        <v>27</v>
      </c>
      <c r="Q28" s="20">
        <v>270</v>
      </c>
      <c r="R28" s="21">
        <f>IF($D$4="13,20,25㎜(一般家庭用)",0,IF($D$5&lt;=100,0,IF($D$5&gt;=600,500,$D$5-100)))</f>
        <v>0</v>
      </c>
      <c r="S28" s="20">
        <f t="shared" si="1"/>
        <v>0</v>
      </c>
    </row>
    <row r="29" spans="1:19" ht="18.75" customHeight="1" x14ac:dyDescent="0.4">
      <c r="B29" s="31"/>
      <c r="C29" s="5"/>
      <c r="D29" s="26"/>
      <c r="E29" s="26"/>
      <c r="F29" s="26"/>
      <c r="G29" s="26"/>
      <c r="H29" s="26"/>
      <c r="I29" s="26"/>
      <c r="J29" s="32"/>
      <c r="L29" s="3"/>
      <c r="M29" s="3"/>
      <c r="N29" s="101"/>
      <c r="O29" s="30"/>
      <c r="P29" s="28" t="s">
        <v>28</v>
      </c>
      <c r="Q29" s="20">
        <v>320</v>
      </c>
      <c r="R29" s="21">
        <f>IF($D$4="13,20,25㎜(一般家庭用)",0,IF($D$5&lt;=600,0,IF($D$5&gt;=2000,1400,$D$5-600)))</f>
        <v>0</v>
      </c>
      <c r="S29" s="20">
        <f t="shared" si="1"/>
        <v>0</v>
      </c>
    </row>
    <row r="30" spans="1:19" ht="18.75" customHeight="1" thickBot="1" x14ac:dyDescent="0.45">
      <c r="B30" s="31"/>
      <c r="C30" s="5"/>
      <c r="D30" s="26"/>
      <c r="E30" s="26"/>
      <c r="F30" s="26"/>
      <c r="G30" s="26"/>
      <c r="H30" s="26"/>
      <c r="I30" s="26"/>
      <c r="J30" s="32"/>
      <c r="L30" s="3"/>
      <c r="M30" s="3"/>
      <c r="N30" s="102"/>
      <c r="O30" s="33"/>
      <c r="P30" s="34" t="s">
        <v>29</v>
      </c>
      <c r="Q30" s="20">
        <v>340</v>
      </c>
      <c r="R30" s="21">
        <f>IF($D$4="13,20,25㎜(一般家庭用)",0,IF($D$5&gt;=2001,$D$5-2000,0))</f>
        <v>0</v>
      </c>
      <c r="S30" s="20">
        <f t="shared" si="1"/>
        <v>0</v>
      </c>
    </row>
    <row r="31" spans="1:19" ht="18.75" customHeight="1" thickBot="1" x14ac:dyDescent="0.45">
      <c r="B31" s="31"/>
      <c r="C31" s="5"/>
      <c r="D31" s="26"/>
      <c r="E31" s="26"/>
      <c r="F31" s="26"/>
      <c r="G31" s="26"/>
      <c r="H31" s="26"/>
      <c r="I31" s="26"/>
      <c r="J31" s="32"/>
      <c r="L31" s="3"/>
      <c r="M31" s="3"/>
      <c r="R31" s="25" t="s">
        <v>32</v>
      </c>
      <c r="S31" s="35">
        <f>SUM(S16:S30)</f>
        <v>1700</v>
      </c>
    </row>
    <row r="32" spans="1:19" ht="18.75" customHeight="1" x14ac:dyDescent="0.4">
      <c r="C32" s="25"/>
      <c r="D32" s="26"/>
      <c r="E32" s="26"/>
      <c r="F32" s="26"/>
      <c r="G32" s="26"/>
      <c r="H32" s="26"/>
      <c r="I32" s="26"/>
      <c r="L32" s="3"/>
      <c r="M32" s="3"/>
      <c r="O32" s="13"/>
      <c r="P32" s="13"/>
    </row>
    <row r="33" spans="2:20" ht="18.75" customHeight="1" x14ac:dyDescent="0.4">
      <c r="C33" s="25"/>
      <c r="D33" s="26"/>
      <c r="E33" s="26"/>
      <c r="F33" s="26"/>
      <c r="G33" s="26"/>
      <c r="H33" s="26"/>
      <c r="I33" s="26"/>
      <c r="L33" s="3"/>
      <c r="M33" s="3"/>
      <c r="N33" s="6" t="s">
        <v>33</v>
      </c>
    </row>
    <row r="34" spans="2:20" ht="18.75" customHeight="1" x14ac:dyDescent="0.4">
      <c r="C34" s="25"/>
      <c r="D34" s="26"/>
      <c r="E34" s="26"/>
      <c r="F34" s="26"/>
      <c r="G34" s="26"/>
      <c r="H34" s="26"/>
      <c r="I34" s="26"/>
      <c r="L34" s="3"/>
      <c r="M34" s="3"/>
      <c r="O34" s="36" t="s">
        <v>19</v>
      </c>
      <c r="P34" s="10" t="s">
        <v>34</v>
      </c>
      <c r="Q34" s="20">
        <v>1534</v>
      </c>
      <c r="R34" s="21">
        <v>20</v>
      </c>
      <c r="S34" s="20">
        <v>1534</v>
      </c>
    </row>
    <row r="35" spans="2:20" ht="18.75" customHeight="1" x14ac:dyDescent="0.4">
      <c r="O35" s="37" t="s">
        <v>20</v>
      </c>
      <c r="P35" s="10" t="s">
        <v>24</v>
      </c>
      <c r="Q35" s="20">
        <v>102</v>
      </c>
      <c r="R35" s="21">
        <f>IF($D$5&lt;=20,0,IF($D$5&lt;=40,$D$5-20,40-20))</f>
        <v>0</v>
      </c>
      <c r="S35" s="20">
        <f>Q35*R35</f>
        <v>0</v>
      </c>
    </row>
    <row r="36" spans="2:20" ht="18.75" customHeight="1" x14ac:dyDescent="0.4">
      <c r="K36" s="38"/>
      <c r="O36" s="30"/>
      <c r="P36" s="10" t="s">
        <v>35</v>
      </c>
      <c r="Q36" s="20">
        <v>169</v>
      </c>
      <c r="R36" s="21">
        <f>IF($D$5&lt;=40,0,IF($D$5&lt;=100,$D$5-40,60))</f>
        <v>0</v>
      </c>
      <c r="S36" s="20">
        <f t="shared" ref="S36:S39" si="2">Q36*R36</f>
        <v>0</v>
      </c>
    </row>
    <row r="37" spans="2:20" ht="18.75" customHeight="1" x14ac:dyDescent="0.4">
      <c r="J37" s="39"/>
      <c r="K37" s="5"/>
      <c r="L37" s="5"/>
      <c r="M37" s="5"/>
      <c r="O37" s="40"/>
      <c r="P37" s="10" t="s">
        <v>27</v>
      </c>
      <c r="Q37" s="20">
        <v>198</v>
      </c>
      <c r="R37" s="21">
        <f>IF($D$5&lt;=100,0,IF($D$5&lt;=600,$D$5-100,500))</f>
        <v>0</v>
      </c>
      <c r="S37" s="20">
        <f t="shared" si="2"/>
        <v>0</v>
      </c>
      <c r="T37" s="5"/>
    </row>
    <row r="38" spans="2:20" ht="18.75" customHeight="1" x14ac:dyDescent="0.4">
      <c r="J38" s="3"/>
      <c r="K38" s="5"/>
      <c r="L38" s="5"/>
      <c r="M38" s="5"/>
      <c r="O38" s="40"/>
      <c r="P38" s="10" t="s">
        <v>28</v>
      </c>
      <c r="Q38" s="20">
        <v>239</v>
      </c>
      <c r="R38" s="21">
        <f>IF($D$5&lt;=600,0,IF($D$5&lt;=2000,$D$5-600,1400))</f>
        <v>0</v>
      </c>
      <c r="S38" s="20">
        <f t="shared" si="2"/>
        <v>0</v>
      </c>
      <c r="T38" s="5"/>
    </row>
    <row r="39" spans="2:20" ht="18.75" customHeight="1" thickBot="1" x14ac:dyDescent="0.45">
      <c r="J39" s="3"/>
      <c r="K39" s="5"/>
      <c r="L39" s="5"/>
      <c r="M39" s="5"/>
      <c r="O39" s="33"/>
      <c r="P39" s="10" t="s">
        <v>36</v>
      </c>
      <c r="Q39" s="20">
        <v>274</v>
      </c>
      <c r="R39" s="21">
        <f>IF($D$5&lt;=2000,0,$D$5-2000)</f>
        <v>0</v>
      </c>
      <c r="S39" s="20">
        <f t="shared" si="2"/>
        <v>0</v>
      </c>
      <c r="T39" s="5"/>
    </row>
    <row r="40" spans="2:20" ht="18.75" customHeight="1" thickBot="1" x14ac:dyDescent="0.45">
      <c r="K40" s="5"/>
      <c r="L40" s="5"/>
      <c r="M40" s="5"/>
      <c r="R40" s="41" t="s">
        <v>37</v>
      </c>
      <c r="S40" s="35">
        <f>SUM(S34:S39)</f>
        <v>1534</v>
      </c>
      <c r="T40" s="5"/>
    </row>
    <row r="41" spans="2:20" ht="18.75" customHeight="1" x14ac:dyDescent="0.4">
      <c r="K41" s="5"/>
      <c r="L41" s="5"/>
      <c r="M41" s="5"/>
      <c r="T41" s="5"/>
    </row>
    <row r="42" spans="2:20" ht="22.5" customHeight="1" x14ac:dyDescent="0.5">
      <c r="K42" s="5"/>
      <c r="L42" s="5"/>
      <c r="M42" s="5"/>
      <c r="N42" s="2" t="s">
        <v>38</v>
      </c>
      <c r="T42" s="5"/>
    </row>
    <row r="43" spans="2:20" ht="18.75" customHeight="1" x14ac:dyDescent="0.4">
      <c r="K43" s="5"/>
      <c r="L43" s="5"/>
      <c r="M43" s="5"/>
      <c r="T43" s="5"/>
    </row>
    <row r="44" spans="2:20" x14ac:dyDescent="0.4">
      <c r="K44" s="5"/>
      <c r="L44" s="5"/>
      <c r="M44" s="5"/>
      <c r="N44" s="6" t="s">
        <v>3</v>
      </c>
      <c r="P44" s="7"/>
      <c r="Q44" s="3"/>
      <c r="R44" s="3"/>
      <c r="S44" s="3"/>
      <c r="T44" s="5"/>
    </row>
    <row r="45" spans="2:20" x14ac:dyDescent="0.4">
      <c r="B45" s="39"/>
      <c r="C45" s="39"/>
      <c r="D45" s="39"/>
      <c r="E45" s="39"/>
      <c r="F45" s="39"/>
      <c r="G45" s="39"/>
      <c r="H45" s="39"/>
      <c r="I45" s="39"/>
      <c r="K45" s="5"/>
      <c r="L45" s="5"/>
      <c r="M45" s="5"/>
      <c r="N45" s="42" t="s">
        <v>1</v>
      </c>
      <c r="O45" s="28" t="s">
        <v>5</v>
      </c>
      <c r="P45" s="8"/>
      <c r="Q45" s="3"/>
      <c r="T45" s="5"/>
    </row>
    <row r="46" spans="2:20" x14ac:dyDescent="0.4">
      <c r="K46" s="5"/>
      <c r="L46" s="5"/>
      <c r="M46" s="5"/>
      <c r="N46" s="10" t="s">
        <v>2</v>
      </c>
      <c r="O46" s="11">
        <v>1380</v>
      </c>
      <c r="P46" s="9"/>
      <c r="Q46" s="3"/>
      <c r="T46" s="5"/>
    </row>
    <row r="47" spans="2:20" x14ac:dyDescent="0.4">
      <c r="K47" s="5"/>
      <c r="L47" s="5"/>
      <c r="M47" s="5"/>
      <c r="N47" s="10" t="s">
        <v>6</v>
      </c>
      <c r="O47" s="11">
        <v>7280</v>
      </c>
      <c r="P47" s="9"/>
      <c r="T47" s="5"/>
    </row>
    <row r="48" spans="2:20" x14ac:dyDescent="0.4">
      <c r="K48" s="5"/>
      <c r="L48" s="5"/>
      <c r="M48" s="5"/>
      <c r="N48" s="10" t="s">
        <v>9</v>
      </c>
      <c r="O48" s="11">
        <v>13260</v>
      </c>
      <c r="P48" s="9"/>
      <c r="T48" s="5"/>
    </row>
    <row r="49" spans="3:20" x14ac:dyDescent="0.4">
      <c r="K49" s="12"/>
      <c r="L49" s="5"/>
      <c r="M49" s="5"/>
      <c r="N49" s="10" t="s">
        <v>12</v>
      </c>
      <c r="O49" s="11">
        <v>26520</v>
      </c>
      <c r="P49" s="9"/>
      <c r="T49" s="5"/>
    </row>
    <row r="50" spans="3:20" x14ac:dyDescent="0.4">
      <c r="C50" s="43"/>
      <c r="K50" s="5"/>
      <c r="L50" s="5"/>
      <c r="M50" s="5"/>
      <c r="N50" s="10" t="s">
        <v>14</v>
      </c>
      <c r="O50" s="11">
        <v>61100</v>
      </c>
      <c r="P50" s="9"/>
      <c r="T50" s="5"/>
    </row>
    <row r="51" spans="3:20" x14ac:dyDescent="0.4">
      <c r="K51" s="5"/>
      <c r="L51" s="5"/>
      <c r="M51" s="5"/>
      <c r="N51" s="10" t="s">
        <v>16</v>
      </c>
      <c r="O51" s="11">
        <v>119600</v>
      </c>
      <c r="P51" s="9"/>
      <c r="T51" s="5"/>
    </row>
    <row r="52" spans="3:20" x14ac:dyDescent="0.4">
      <c r="N52" s="10" t="s">
        <v>17</v>
      </c>
      <c r="O52" s="11">
        <v>324220</v>
      </c>
      <c r="P52" s="9"/>
    </row>
    <row r="53" spans="3:20" x14ac:dyDescent="0.4">
      <c r="N53" s="10" t="s">
        <v>18</v>
      </c>
      <c r="O53" s="11">
        <v>626600</v>
      </c>
      <c r="P53" s="9"/>
    </row>
    <row r="54" spans="3:20" x14ac:dyDescent="0.4">
      <c r="O54" s="13"/>
      <c r="P54" s="13"/>
    </row>
    <row r="55" spans="3:20" x14ac:dyDescent="0.4">
      <c r="N55" s="10"/>
      <c r="O55" s="14" t="s">
        <v>19</v>
      </c>
      <c r="P55" s="15"/>
      <c r="Q55" s="16"/>
      <c r="R55" s="17">
        <v>0</v>
      </c>
      <c r="S55" s="18">
        <f>VLOOKUP(D4,N46:O53,2,FALSE)</f>
        <v>1380</v>
      </c>
    </row>
    <row r="56" spans="3:20" x14ac:dyDescent="0.4">
      <c r="N56" s="100" t="s">
        <v>20</v>
      </c>
      <c r="O56" s="19" t="s">
        <v>21</v>
      </c>
      <c r="P56" s="10" t="s">
        <v>22</v>
      </c>
      <c r="Q56" s="20">
        <v>25</v>
      </c>
      <c r="R56" s="21">
        <f>IF($D$4="13,20,25㎜(一般家庭用)",IF($D$5&gt;=12,12,$D$5),0)</f>
        <v>12</v>
      </c>
      <c r="S56" s="20">
        <f>Q56*R56</f>
        <v>300</v>
      </c>
    </row>
    <row r="57" spans="3:20" x14ac:dyDescent="0.4">
      <c r="N57" s="101"/>
      <c r="O57" s="22"/>
      <c r="P57" s="10" t="s">
        <v>23</v>
      </c>
      <c r="Q57" s="20">
        <v>35</v>
      </c>
      <c r="R57" s="21">
        <f>IF($D$4="13,20,25㎜(一般家庭用)",IF($D$5&lt;=12,0,IF($D$5&gt;=20,8,$D$5-12)),0)</f>
        <v>8</v>
      </c>
      <c r="S57" s="20">
        <f>Q57*R57</f>
        <v>280</v>
      </c>
    </row>
    <row r="58" spans="3:20" x14ac:dyDescent="0.4">
      <c r="N58" s="101"/>
      <c r="O58" s="22"/>
      <c r="P58" s="10" t="s">
        <v>24</v>
      </c>
      <c r="Q58" s="20">
        <v>140</v>
      </c>
      <c r="R58" s="21">
        <f>IF($D$4="13,20,25㎜(一般家庭用)",IF($D$5&lt;=20,0,IF($D$5&gt;=40,20,$D$5-20)),0)</f>
        <v>0</v>
      </c>
      <c r="S58" s="20">
        <f>Q58*R58</f>
        <v>0</v>
      </c>
    </row>
    <row r="59" spans="3:20" x14ac:dyDescent="0.4">
      <c r="N59" s="101"/>
      <c r="O59" s="22"/>
      <c r="P59" s="10" t="s">
        <v>25</v>
      </c>
      <c r="Q59" s="20">
        <v>205</v>
      </c>
      <c r="R59" s="21">
        <f>IF($D$4="13,20,25㎜(一般家庭用)",IF($D$5&lt;=40,0,IF($D$5&gt;=60,20,$D$5-40)),0)</f>
        <v>0</v>
      </c>
      <c r="S59" s="20">
        <f>Q59*R59</f>
        <v>0</v>
      </c>
    </row>
    <row r="60" spans="3:20" x14ac:dyDescent="0.4">
      <c r="N60" s="101"/>
      <c r="O60" s="22"/>
      <c r="P60" s="10" t="s">
        <v>26</v>
      </c>
      <c r="Q60" s="20">
        <v>225</v>
      </c>
      <c r="R60" s="21">
        <f>IF($D$4="13,20,25㎜(一般家庭用)",IF($D$5&lt;=60,0,IF($D$5&gt;=100,40,$D$5-60)),0)</f>
        <v>0</v>
      </c>
      <c r="S60" s="20">
        <f t="shared" ref="S60:S69" si="3">Q60*R60</f>
        <v>0</v>
      </c>
    </row>
    <row r="61" spans="3:20" x14ac:dyDescent="0.4">
      <c r="N61" s="101"/>
      <c r="O61" s="22"/>
      <c r="P61" s="10" t="s">
        <v>27</v>
      </c>
      <c r="Q61" s="20">
        <v>280</v>
      </c>
      <c r="R61" s="21">
        <f>IF($D$4="13,20,25㎜(一般家庭用)",IF($D$5&lt;=100,0,IF($D$5&gt;=600,500,$D$5-100)),0)</f>
        <v>0</v>
      </c>
      <c r="S61" s="20">
        <f t="shared" si="3"/>
        <v>0</v>
      </c>
    </row>
    <row r="62" spans="3:20" x14ac:dyDescent="0.4">
      <c r="N62" s="101"/>
      <c r="O62" s="23"/>
      <c r="P62" s="24" t="s">
        <v>28</v>
      </c>
      <c r="Q62" s="20">
        <v>330</v>
      </c>
      <c r="R62" s="21">
        <f>IF($D$4="13,20,25㎜(一般家庭用)",IF($D$5&lt;=600,0,IF($D$5&gt;=2000,1400,$D$5-600)),0)</f>
        <v>0</v>
      </c>
      <c r="S62" s="20">
        <f t="shared" si="3"/>
        <v>0</v>
      </c>
    </row>
    <row r="63" spans="3:20" x14ac:dyDescent="0.4">
      <c r="N63" s="101"/>
      <c r="O63" s="27"/>
      <c r="P63" s="28" t="s">
        <v>29</v>
      </c>
      <c r="Q63" s="20">
        <v>350</v>
      </c>
      <c r="R63" s="21">
        <f>IF($D$4="13,20,25㎜(一般家庭用)",IF($D$5&gt;=2001,$D$5-2000,0),0)</f>
        <v>0</v>
      </c>
      <c r="S63" s="20">
        <f t="shared" si="3"/>
        <v>0</v>
      </c>
    </row>
    <row r="64" spans="3:20" x14ac:dyDescent="0.4">
      <c r="N64" s="101"/>
      <c r="O64" s="29" t="s">
        <v>30</v>
      </c>
      <c r="P64" s="10" t="s">
        <v>31</v>
      </c>
      <c r="Q64" s="20">
        <v>140</v>
      </c>
      <c r="R64" s="21">
        <f>IF($D$4="13,20,25㎜(一般家庭用)",0,IF($D$5&gt;=40,40,$D$5))</f>
        <v>0</v>
      </c>
      <c r="S64" s="20">
        <f t="shared" si="3"/>
        <v>0</v>
      </c>
    </row>
    <row r="65" spans="14:19" x14ac:dyDescent="0.4">
      <c r="N65" s="101"/>
      <c r="O65" s="30"/>
      <c r="P65" s="10" t="s">
        <v>25</v>
      </c>
      <c r="Q65" s="20">
        <v>205</v>
      </c>
      <c r="R65" s="21">
        <f>IF($D$4="13,20,25㎜(一般家庭用)",0,IF($D$5&lt;=40,0,IF($D$5&gt;=60,20,$D$5-40)))</f>
        <v>0</v>
      </c>
      <c r="S65" s="20">
        <f t="shared" si="3"/>
        <v>0</v>
      </c>
    </row>
    <row r="66" spans="14:19" x14ac:dyDescent="0.4">
      <c r="N66" s="101"/>
      <c r="O66" s="30"/>
      <c r="P66" s="10" t="s">
        <v>26</v>
      </c>
      <c r="Q66" s="20">
        <v>225</v>
      </c>
      <c r="R66" s="21">
        <f>IF($D$4="13,20,25㎜(一般家庭用)",0,IF($D$5&lt;=60,0,IF($D$5&gt;=100,40,$D$5-60)))</f>
        <v>0</v>
      </c>
      <c r="S66" s="20">
        <f t="shared" si="3"/>
        <v>0</v>
      </c>
    </row>
    <row r="67" spans="14:19" x14ac:dyDescent="0.4">
      <c r="N67" s="101"/>
      <c r="O67" s="30"/>
      <c r="P67" s="10" t="s">
        <v>27</v>
      </c>
      <c r="Q67" s="20">
        <v>280</v>
      </c>
      <c r="R67" s="21">
        <f>IF($D$4="13,20,25㎜(一般家庭用)",0,IF($D$5&lt;=100,0,IF($D$5&gt;=600,500,$D$5-100)))</f>
        <v>0</v>
      </c>
      <c r="S67" s="20">
        <f t="shared" si="3"/>
        <v>0</v>
      </c>
    </row>
    <row r="68" spans="14:19" x14ac:dyDescent="0.4">
      <c r="N68" s="101"/>
      <c r="O68" s="30"/>
      <c r="P68" s="28" t="s">
        <v>28</v>
      </c>
      <c r="Q68" s="20">
        <v>330</v>
      </c>
      <c r="R68" s="21">
        <f>IF($D$4="13,20,25㎜(一般家庭用)",0,IF($D$5&lt;=600,0,IF($D$5&gt;=2000,1400,$D$5-600)))</f>
        <v>0</v>
      </c>
      <c r="S68" s="20">
        <f t="shared" si="3"/>
        <v>0</v>
      </c>
    </row>
    <row r="69" spans="14:19" ht="19.5" thickBot="1" x14ac:dyDescent="0.45">
      <c r="N69" s="102"/>
      <c r="O69" s="33"/>
      <c r="P69" s="34" t="s">
        <v>29</v>
      </c>
      <c r="Q69" s="20">
        <v>350</v>
      </c>
      <c r="R69" s="21">
        <f>IF($D$4="13,20,25㎜(一般家庭用)",0,IF($D$5&gt;=2001,$D$5-2000,0))</f>
        <v>0</v>
      </c>
      <c r="S69" s="20">
        <f t="shared" si="3"/>
        <v>0</v>
      </c>
    </row>
    <row r="70" spans="14:19" ht="19.5" thickBot="1" x14ac:dyDescent="0.45">
      <c r="R70" s="25" t="s">
        <v>32</v>
      </c>
      <c r="S70" s="35">
        <f>SUM(S55:S69)</f>
        <v>1960</v>
      </c>
    </row>
    <row r="71" spans="14:19" x14ac:dyDescent="0.4">
      <c r="O71" s="13"/>
      <c r="P71" s="13"/>
    </row>
    <row r="72" spans="14:19" x14ac:dyDescent="0.4">
      <c r="N72" s="6" t="s">
        <v>33</v>
      </c>
    </row>
    <row r="73" spans="14:19" x14ac:dyDescent="0.4">
      <c r="O73" s="36" t="s">
        <v>19</v>
      </c>
      <c r="P73" s="10" t="s">
        <v>34</v>
      </c>
      <c r="Q73" s="20">
        <v>1534</v>
      </c>
      <c r="R73" s="21">
        <v>20</v>
      </c>
      <c r="S73" s="20">
        <v>1534</v>
      </c>
    </row>
    <row r="74" spans="14:19" x14ac:dyDescent="0.4">
      <c r="O74" s="37" t="s">
        <v>20</v>
      </c>
      <c r="P74" s="10" t="s">
        <v>24</v>
      </c>
      <c r="Q74" s="20">
        <v>102</v>
      </c>
      <c r="R74" s="21">
        <f>IF($D$5&lt;=20,0,IF($D$5&lt;=40,$D$5-20,40-20))</f>
        <v>0</v>
      </c>
      <c r="S74" s="20">
        <f t="shared" ref="S74:S78" si="4">Q74*R74</f>
        <v>0</v>
      </c>
    </row>
    <row r="75" spans="14:19" x14ac:dyDescent="0.4">
      <c r="O75" s="30"/>
      <c r="P75" s="10" t="s">
        <v>35</v>
      </c>
      <c r="Q75" s="20">
        <v>169</v>
      </c>
      <c r="R75" s="21">
        <f>IF($D$5&lt;=40,0,IF($D$5&lt;=100,$D$5-40,60))</f>
        <v>0</v>
      </c>
      <c r="S75" s="20">
        <f t="shared" si="4"/>
        <v>0</v>
      </c>
    </row>
    <row r="76" spans="14:19" x14ac:dyDescent="0.4">
      <c r="O76" s="40"/>
      <c r="P76" s="10" t="s">
        <v>27</v>
      </c>
      <c r="Q76" s="20">
        <v>198</v>
      </c>
      <c r="R76" s="21">
        <f>IF($D$5&lt;=100,0,IF($D$5&lt;=600,$D$5-100,500))</f>
        <v>0</v>
      </c>
      <c r="S76" s="20">
        <f t="shared" si="4"/>
        <v>0</v>
      </c>
    </row>
    <row r="77" spans="14:19" x14ac:dyDescent="0.4">
      <c r="O77" s="40"/>
      <c r="P77" s="10" t="s">
        <v>28</v>
      </c>
      <c r="Q77" s="20">
        <v>239</v>
      </c>
      <c r="R77" s="21">
        <f>IF($D$5&lt;=600,0,IF($D$5&lt;=2000,$D$5-600,1400))</f>
        <v>0</v>
      </c>
      <c r="S77" s="20">
        <f t="shared" si="4"/>
        <v>0</v>
      </c>
    </row>
    <row r="78" spans="14:19" ht="19.5" thickBot="1" x14ac:dyDescent="0.45">
      <c r="O78" s="33"/>
      <c r="P78" s="10" t="s">
        <v>36</v>
      </c>
      <c r="Q78" s="20">
        <v>274</v>
      </c>
      <c r="R78" s="21">
        <f>IF($D$5&lt;=2000,0,$D$5-2000)</f>
        <v>0</v>
      </c>
      <c r="S78" s="20">
        <f t="shared" si="4"/>
        <v>0</v>
      </c>
    </row>
    <row r="79" spans="14:19" ht="19.5" thickBot="1" x14ac:dyDescent="0.45">
      <c r="R79" s="41" t="s">
        <v>37</v>
      </c>
      <c r="S79" s="35">
        <f>SUM(S73:S78)</f>
        <v>1534</v>
      </c>
    </row>
    <row r="81" spans="14:19" ht="24" x14ac:dyDescent="0.5">
      <c r="N81" s="2" t="s">
        <v>55</v>
      </c>
    </row>
    <row r="83" spans="14:19" x14ac:dyDescent="0.4">
      <c r="N83" s="6" t="s">
        <v>3</v>
      </c>
      <c r="P83" s="7"/>
      <c r="Q83" s="3"/>
      <c r="R83" s="3"/>
      <c r="S83" s="3"/>
    </row>
    <row r="84" spans="14:19" x14ac:dyDescent="0.4">
      <c r="N84" s="42" t="s">
        <v>1</v>
      </c>
      <c r="O84" s="28" t="s">
        <v>5</v>
      </c>
      <c r="P84" s="8"/>
      <c r="Q84" s="3"/>
    </row>
    <row r="85" spans="14:19" x14ac:dyDescent="0.4">
      <c r="N85" s="10" t="s">
        <v>2</v>
      </c>
      <c r="O85" s="11">
        <v>0</v>
      </c>
      <c r="P85" s="9"/>
      <c r="Q85" s="3"/>
    </row>
    <row r="86" spans="14:19" x14ac:dyDescent="0.4">
      <c r="N86" s="10" t="s">
        <v>6</v>
      </c>
      <c r="O86" s="11">
        <v>7780</v>
      </c>
      <c r="P86" s="9"/>
    </row>
    <row r="87" spans="14:19" x14ac:dyDescent="0.4">
      <c r="N87" s="10" t="s">
        <v>9</v>
      </c>
      <c r="O87" s="11">
        <v>13860</v>
      </c>
      <c r="P87" s="9"/>
    </row>
    <row r="88" spans="14:19" x14ac:dyDescent="0.4">
      <c r="N88" s="10" t="s">
        <v>12</v>
      </c>
      <c r="O88" s="11">
        <v>27220</v>
      </c>
      <c r="P88" s="9"/>
    </row>
    <row r="89" spans="14:19" x14ac:dyDescent="0.4">
      <c r="N89" s="10" t="s">
        <v>14</v>
      </c>
      <c r="O89" s="11">
        <v>61900</v>
      </c>
      <c r="P89" s="9"/>
    </row>
    <row r="90" spans="14:19" x14ac:dyDescent="0.4">
      <c r="N90" s="10" t="s">
        <v>16</v>
      </c>
      <c r="O90" s="11">
        <v>120700</v>
      </c>
      <c r="P90" s="9"/>
    </row>
    <row r="91" spans="14:19" x14ac:dyDescent="0.4">
      <c r="N91" s="10" t="s">
        <v>17</v>
      </c>
      <c r="O91" s="11">
        <v>325520</v>
      </c>
      <c r="P91" s="9"/>
    </row>
    <row r="92" spans="14:19" x14ac:dyDescent="0.4">
      <c r="N92" s="10" t="s">
        <v>18</v>
      </c>
      <c r="O92" s="11">
        <v>628100</v>
      </c>
      <c r="P92" s="9"/>
    </row>
    <row r="93" spans="14:19" x14ac:dyDescent="0.4">
      <c r="O93" s="13"/>
      <c r="P93" s="13"/>
    </row>
    <row r="94" spans="14:19" x14ac:dyDescent="0.4">
      <c r="N94" s="10"/>
      <c r="O94" s="14" t="s">
        <v>19</v>
      </c>
      <c r="P94" s="15"/>
      <c r="Q94" s="16"/>
      <c r="R94" s="17">
        <v>0</v>
      </c>
      <c r="S94" s="18">
        <f>VLOOKUP(D4,N85:O92,2,FALSE)</f>
        <v>0</v>
      </c>
    </row>
    <row r="95" spans="14:19" x14ac:dyDescent="0.4">
      <c r="N95" s="100" t="s">
        <v>20</v>
      </c>
      <c r="O95" s="19" t="s">
        <v>21</v>
      </c>
      <c r="P95" s="10" t="s">
        <v>22</v>
      </c>
      <c r="Q95" s="20">
        <v>25</v>
      </c>
      <c r="R95" s="21">
        <f>IF($D$4="13,20,25㎜(一般家庭用)",IF($D$5&gt;=12,12,$D$5),0)</f>
        <v>12</v>
      </c>
      <c r="S95" s="20">
        <f>Q95*R95</f>
        <v>300</v>
      </c>
    </row>
    <row r="96" spans="14:19" x14ac:dyDescent="0.4">
      <c r="N96" s="101"/>
      <c r="O96" s="22"/>
      <c r="P96" s="10" t="s">
        <v>23</v>
      </c>
      <c r="Q96" s="20">
        <v>35</v>
      </c>
      <c r="R96" s="21">
        <f>IF($D$4="13,20,25㎜(一般家庭用)",IF($D$5&lt;=12,0,IF($D$5&gt;=20,8,$D$5-12)),0)</f>
        <v>8</v>
      </c>
      <c r="S96" s="20">
        <f>Q96*R96</f>
        <v>280</v>
      </c>
    </row>
    <row r="97" spans="14:19" x14ac:dyDescent="0.4">
      <c r="N97" s="101"/>
      <c r="O97" s="22"/>
      <c r="P97" s="10" t="s">
        <v>24</v>
      </c>
      <c r="Q97" s="20">
        <v>140</v>
      </c>
      <c r="R97" s="21">
        <f>IF($D$4="13,20,25㎜(一般家庭用)",IF($D$5&lt;=20,0,IF($D$5&gt;=40,20,$D$5-20)),0)</f>
        <v>0</v>
      </c>
      <c r="S97" s="20">
        <f>Q97*R97</f>
        <v>0</v>
      </c>
    </row>
    <row r="98" spans="14:19" x14ac:dyDescent="0.4">
      <c r="N98" s="101"/>
      <c r="O98" s="22"/>
      <c r="P98" s="10" t="s">
        <v>25</v>
      </c>
      <c r="Q98" s="20">
        <v>205</v>
      </c>
      <c r="R98" s="21">
        <f>IF($D$4="13,20,25㎜(一般家庭用)",IF($D$5&lt;=40,0,IF($D$5&gt;=60,20,$D$5-40)),0)</f>
        <v>0</v>
      </c>
      <c r="S98" s="20">
        <f>Q98*R98</f>
        <v>0</v>
      </c>
    </row>
    <row r="99" spans="14:19" x14ac:dyDescent="0.4">
      <c r="N99" s="101"/>
      <c r="O99" s="22"/>
      <c r="P99" s="10" t="s">
        <v>26</v>
      </c>
      <c r="Q99" s="20">
        <v>225</v>
      </c>
      <c r="R99" s="21">
        <f>IF($D$4="13,20,25㎜(一般家庭用)",IF($D$5&lt;=60,0,IF($D$5&gt;=100,40,$D$5-60)),0)</f>
        <v>0</v>
      </c>
      <c r="S99" s="20">
        <f t="shared" ref="S99:S108" si="5">Q99*R99</f>
        <v>0</v>
      </c>
    </row>
    <row r="100" spans="14:19" x14ac:dyDescent="0.4">
      <c r="N100" s="101"/>
      <c r="O100" s="22"/>
      <c r="P100" s="10" t="s">
        <v>27</v>
      </c>
      <c r="Q100" s="20">
        <v>280</v>
      </c>
      <c r="R100" s="21">
        <f>IF($D$4="13,20,25㎜(一般家庭用)",IF($D$5&lt;=100,0,IF($D$5&gt;=600,500,$D$5-100)),0)</f>
        <v>0</v>
      </c>
      <c r="S100" s="20">
        <f t="shared" si="5"/>
        <v>0</v>
      </c>
    </row>
    <row r="101" spans="14:19" x14ac:dyDescent="0.4">
      <c r="N101" s="101"/>
      <c r="O101" s="23"/>
      <c r="P101" s="24" t="s">
        <v>28</v>
      </c>
      <c r="Q101" s="20">
        <v>330</v>
      </c>
      <c r="R101" s="21">
        <f>IF($D$4="13,20,25㎜(一般家庭用)",IF($D$5&lt;=600,0,IF($D$5&gt;=2000,1400,$D$5-600)),0)</f>
        <v>0</v>
      </c>
      <c r="S101" s="20">
        <f t="shared" si="5"/>
        <v>0</v>
      </c>
    </row>
    <row r="102" spans="14:19" x14ac:dyDescent="0.4">
      <c r="N102" s="101"/>
      <c r="O102" s="27"/>
      <c r="P102" s="28" t="s">
        <v>29</v>
      </c>
      <c r="Q102" s="20">
        <v>350</v>
      </c>
      <c r="R102" s="21">
        <f>IF($D$4="13,20,25㎜(一般家庭用)",IF($D$5&gt;=2001,$D$5-2000,0),0)</f>
        <v>0</v>
      </c>
      <c r="S102" s="20">
        <f t="shared" si="5"/>
        <v>0</v>
      </c>
    </row>
    <row r="103" spans="14:19" x14ac:dyDescent="0.4">
      <c r="N103" s="101"/>
      <c r="O103" s="29" t="s">
        <v>30</v>
      </c>
      <c r="P103" s="10" t="s">
        <v>31</v>
      </c>
      <c r="Q103" s="20">
        <v>140</v>
      </c>
      <c r="R103" s="21">
        <f>IF($D$4="13,20,25㎜(一般家庭用)",0,IF($D$5&gt;=40,40,$D$5))</f>
        <v>0</v>
      </c>
      <c r="S103" s="20">
        <f t="shared" si="5"/>
        <v>0</v>
      </c>
    </row>
    <row r="104" spans="14:19" x14ac:dyDescent="0.4">
      <c r="N104" s="101"/>
      <c r="O104" s="30"/>
      <c r="P104" s="10" t="s">
        <v>25</v>
      </c>
      <c r="Q104" s="20">
        <v>205</v>
      </c>
      <c r="R104" s="21">
        <f>IF($D$4="13,20,25㎜(一般家庭用)",0,IF($D$5&lt;=40,0,IF($D$5&gt;=60,20,$D$5-40)))</f>
        <v>0</v>
      </c>
      <c r="S104" s="20">
        <f t="shared" si="5"/>
        <v>0</v>
      </c>
    </row>
    <row r="105" spans="14:19" x14ac:dyDescent="0.4">
      <c r="N105" s="101"/>
      <c r="O105" s="30"/>
      <c r="P105" s="10" t="s">
        <v>26</v>
      </c>
      <c r="Q105" s="20">
        <v>225</v>
      </c>
      <c r="R105" s="21">
        <f>IF($D$4="13,20,25㎜(一般家庭用)",0,IF($D$5&lt;=60,0,IF($D$5&gt;=100,40,$D$5-60)))</f>
        <v>0</v>
      </c>
      <c r="S105" s="20">
        <f t="shared" si="5"/>
        <v>0</v>
      </c>
    </row>
    <row r="106" spans="14:19" x14ac:dyDescent="0.4">
      <c r="N106" s="101"/>
      <c r="O106" s="30"/>
      <c r="P106" s="10" t="s">
        <v>27</v>
      </c>
      <c r="Q106" s="20">
        <v>280</v>
      </c>
      <c r="R106" s="21">
        <f>IF($D$4="13,20,25㎜(一般家庭用)",0,IF($D$5&lt;=100,0,IF($D$5&gt;=600,500,$D$5-100)))</f>
        <v>0</v>
      </c>
      <c r="S106" s="20">
        <f t="shared" si="5"/>
        <v>0</v>
      </c>
    </row>
    <row r="107" spans="14:19" x14ac:dyDescent="0.4">
      <c r="N107" s="101"/>
      <c r="O107" s="30"/>
      <c r="P107" s="28" t="s">
        <v>28</v>
      </c>
      <c r="Q107" s="20">
        <v>330</v>
      </c>
      <c r="R107" s="21">
        <f>IF($D$4="13,20,25㎜(一般家庭用)",0,IF($D$5&lt;=600,0,IF($D$5&gt;=2000,1400,$D$5-600)))</f>
        <v>0</v>
      </c>
      <c r="S107" s="20">
        <f t="shared" si="5"/>
        <v>0</v>
      </c>
    </row>
    <row r="108" spans="14:19" ht="19.5" thickBot="1" x14ac:dyDescent="0.45">
      <c r="N108" s="102"/>
      <c r="O108" s="33"/>
      <c r="P108" s="34" t="s">
        <v>29</v>
      </c>
      <c r="Q108" s="20">
        <v>350</v>
      </c>
      <c r="R108" s="21">
        <f>IF($D$4="13,20,25㎜(一般家庭用)",0,IF($D$5&gt;=2001,$D$5-2000,0))</f>
        <v>0</v>
      </c>
      <c r="S108" s="20">
        <f t="shared" si="5"/>
        <v>0</v>
      </c>
    </row>
    <row r="109" spans="14:19" ht="19.5" thickBot="1" x14ac:dyDescent="0.45">
      <c r="R109" s="25" t="s">
        <v>32</v>
      </c>
      <c r="S109" s="35">
        <f>SUM(S94:S108)</f>
        <v>580</v>
      </c>
    </row>
    <row r="110" spans="14:19" x14ac:dyDescent="0.4">
      <c r="O110" s="13"/>
      <c r="P110" s="13"/>
    </row>
    <row r="111" spans="14:19" x14ac:dyDescent="0.4">
      <c r="N111" s="6" t="s">
        <v>33</v>
      </c>
    </row>
    <row r="112" spans="14:19" x14ac:dyDescent="0.4">
      <c r="O112" s="36" t="s">
        <v>19</v>
      </c>
      <c r="P112" s="10" t="s">
        <v>34</v>
      </c>
      <c r="Q112" s="20">
        <v>1534</v>
      </c>
      <c r="R112" s="21">
        <v>20</v>
      </c>
      <c r="S112" s="20">
        <v>1534</v>
      </c>
    </row>
    <row r="113" spans="14:19" x14ac:dyDescent="0.4">
      <c r="O113" s="37" t="s">
        <v>20</v>
      </c>
      <c r="P113" s="10" t="s">
        <v>24</v>
      </c>
      <c r="Q113" s="20">
        <v>102</v>
      </c>
      <c r="R113" s="21">
        <f>IF($D$5&lt;=20,0,IF($D$5&lt;=40,$D$5-20,40-20))</f>
        <v>0</v>
      </c>
      <c r="S113" s="20">
        <f>Q113*R113</f>
        <v>0</v>
      </c>
    </row>
    <row r="114" spans="14:19" x14ac:dyDescent="0.4">
      <c r="O114" s="30"/>
      <c r="P114" s="10" t="s">
        <v>35</v>
      </c>
      <c r="Q114" s="20">
        <v>169</v>
      </c>
      <c r="R114" s="21">
        <f>IF($D$5&lt;=40,0,IF($D$5&lt;=100,$D$5-40,60))</f>
        <v>0</v>
      </c>
      <c r="S114" s="20">
        <f t="shared" ref="S114:S117" si="6">Q114*R114</f>
        <v>0</v>
      </c>
    </row>
    <row r="115" spans="14:19" x14ac:dyDescent="0.4">
      <c r="O115" s="40"/>
      <c r="P115" s="10" t="s">
        <v>27</v>
      </c>
      <c r="Q115" s="20">
        <v>198</v>
      </c>
      <c r="R115" s="21">
        <f>IF($D$5&lt;=100,0,IF($D$5&lt;=600,$D$5-100,500))</f>
        <v>0</v>
      </c>
      <c r="S115" s="20">
        <f t="shared" si="6"/>
        <v>0</v>
      </c>
    </row>
    <row r="116" spans="14:19" x14ac:dyDescent="0.4">
      <c r="O116" s="40"/>
      <c r="P116" s="10" t="s">
        <v>28</v>
      </c>
      <c r="Q116" s="20">
        <v>239</v>
      </c>
      <c r="R116" s="21">
        <f>IF($D$5&lt;=600,0,IF($D$5&lt;=2000,$D$5-600,1400))</f>
        <v>0</v>
      </c>
      <c r="S116" s="20">
        <f t="shared" si="6"/>
        <v>0</v>
      </c>
    </row>
    <row r="117" spans="14:19" ht="19.5" thickBot="1" x14ac:dyDescent="0.45">
      <c r="O117" s="33"/>
      <c r="P117" s="10" t="s">
        <v>36</v>
      </c>
      <c r="Q117" s="20">
        <v>274</v>
      </c>
      <c r="R117" s="21">
        <f>IF($D$5&lt;=2000,0,$D$5-2000)</f>
        <v>0</v>
      </c>
      <c r="S117" s="20">
        <f t="shared" si="6"/>
        <v>0</v>
      </c>
    </row>
    <row r="118" spans="14:19" ht="19.5" thickBot="1" x14ac:dyDescent="0.45">
      <c r="R118" s="41" t="s">
        <v>37</v>
      </c>
      <c r="S118" s="35">
        <f>SUM(S112:S117)</f>
        <v>1534</v>
      </c>
    </row>
    <row r="120" spans="14:19" ht="24" x14ac:dyDescent="0.5">
      <c r="N120" s="2" t="s">
        <v>56</v>
      </c>
    </row>
    <row r="122" spans="14:19" x14ac:dyDescent="0.4">
      <c r="N122" s="6" t="s">
        <v>3</v>
      </c>
      <c r="P122" s="7"/>
      <c r="Q122" s="3"/>
      <c r="R122" s="3"/>
      <c r="S122" s="3"/>
    </row>
    <row r="123" spans="14:19" x14ac:dyDescent="0.4">
      <c r="N123" s="42" t="s">
        <v>1</v>
      </c>
      <c r="O123" s="28" t="s">
        <v>5</v>
      </c>
      <c r="P123" s="8"/>
      <c r="Q123" s="3"/>
    </row>
    <row r="124" spans="14:19" x14ac:dyDescent="0.4">
      <c r="N124" s="10" t="s">
        <v>2</v>
      </c>
      <c r="O124" s="11">
        <v>0</v>
      </c>
      <c r="P124" s="9"/>
      <c r="Q124" s="3"/>
    </row>
    <row r="125" spans="14:19" x14ac:dyDescent="0.4">
      <c r="N125" s="10" t="s">
        <v>6</v>
      </c>
      <c r="O125" s="11">
        <v>0</v>
      </c>
      <c r="P125" s="9"/>
    </row>
    <row r="126" spans="14:19" x14ac:dyDescent="0.4">
      <c r="N126" s="10" t="s">
        <v>9</v>
      </c>
      <c r="O126" s="11">
        <v>0</v>
      </c>
      <c r="P126" s="9"/>
    </row>
    <row r="127" spans="14:19" x14ac:dyDescent="0.4">
      <c r="N127" s="10" t="s">
        <v>12</v>
      </c>
      <c r="O127" s="11">
        <v>0</v>
      </c>
      <c r="P127" s="9"/>
    </row>
    <row r="128" spans="14:19" x14ac:dyDescent="0.4">
      <c r="N128" s="10" t="s">
        <v>14</v>
      </c>
      <c r="O128" s="11">
        <v>0</v>
      </c>
      <c r="P128" s="9"/>
    </row>
    <row r="129" spans="14:19" x14ac:dyDescent="0.4">
      <c r="N129" s="10" t="s">
        <v>16</v>
      </c>
      <c r="O129" s="11">
        <v>0</v>
      </c>
      <c r="P129" s="9"/>
    </row>
    <row r="130" spans="14:19" x14ac:dyDescent="0.4">
      <c r="N130" s="10" t="s">
        <v>17</v>
      </c>
      <c r="O130" s="11">
        <v>0</v>
      </c>
      <c r="P130" s="9"/>
    </row>
    <row r="131" spans="14:19" x14ac:dyDescent="0.4">
      <c r="N131" s="10" t="s">
        <v>18</v>
      </c>
      <c r="O131" s="11">
        <v>0</v>
      </c>
      <c r="P131" s="9"/>
    </row>
    <row r="132" spans="14:19" x14ac:dyDescent="0.4">
      <c r="O132" s="13"/>
      <c r="P132" s="13"/>
    </row>
    <row r="133" spans="14:19" x14ac:dyDescent="0.4">
      <c r="N133" s="10"/>
      <c r="O133" s="14" t="s">
        <v>19</v>
      </c>
      <c r="P133" s="15"/>
      <c r="Q133" s="16"/>
      <c r="R133" s="17">
        <v>0</v>
      </c>
      <c r="S133" s="18">
        <f>VLOOKUP(D4,N124:O131,2,FALSE)</f>
        <v>0</v>
      </c>
    </row>
    <row r="134" spans="14:19" x14ac:dyDescent="0.4">
      <c r="N134" s="100" t="s">
        <v>20</v>
      </c>
      <c r="O134" s="19" t="s">
        <v>21</v>
      </c>
      <c r="P134" s="10" t="s">
        <v>22</v>
      </c>
      <c r="Q134" s="20">
        <v>25</v>
      </c>
      <c r="R134" s="21">
        <f>IF($D$4="13,20,25㎜(一般家庭用)",IF($D$5&gt;=12,12,$D$5),0)</f>
        <v>12</v>
      </c>
      <c r="S134" s="20">
        <f>Q134*R134</f>
        <v>300</v>
      </c>
    </row>
    <row r="135" spans="14:19" x14ac:dyDescent="0.4">
      <c r="N135" s="101"/>
      <c r="O135" s="22"/>
      <c r="P135" s="10" t="s">
        <v>23</v>
      </c>
      <c r="Q135" s="20">
        <v>35</v>
      </c>
      <c r="R135" s="21">
        <f>IF($D$4="13,20,25㎜(一般家庭用)",IF($D$5&lt;=12,0,IF($D$5&gt;=20,8,$D$5-12)),0)</f>
        <v>8</v>
      </c>
      <c r="S135" s="20">
        <f>Q135*R135</f>
        <v>280</v>
      </c>
    </row>
    <row r="136" spans="14:19" x14ac:dyDescent="0.4">
      <c r="N136" s="101"/>
      <c r="O136" s="22"/>
      <c r="P136" s="10" t="s">
        <v>24</v>
      </c>
      <c r="Q136" s="20">
        <v>140</v>
      </c>
      <c r="R136" s="21">
        <f>IF($D$4="13,20,25㎜(一般家庭用)",IF($D$5&lt;=20,0,IF($D$5&gt;=40,20,$D$5-20)),0)</f>
        <v>0</v>
      </c>
      <c r="S136" s="20">
        <f>Q136*R136</f>
        <v>0</v>
      </c>
    </row>
    <row r="137" spans="14:19" x14ac:dyDescent="0.4">
      <c r="N137" s="101"/>
      <c r="O137" s="22"/>
      <c r="P137" s="10" t="s">
        <v>25</v>
      </c>
      <c r="Q137" s="20">
        <v>205</v>
      </c>
      <c r="R137" s="21">
        <f>IF($D$4="13,20,25㎜(一般家庭用)",IF($D$5&lt;=40,0,IF($D$5&gt;=60,20,$D$5-40)),0)</f>
        <v>0</v>
      </c>
      <c r="S137" s="20">
        <f>Q137*R137</f>
        <v>0</v>
      </c>
    </row>
    <row r="138" spans="14:19" x14ac:dyDescent="0.4">
      <c r="N138" s="101"/>
      <c r="O138" s="22"/>
      <c r="P138" s="10" t="s">
        <v>26</v>
      </c>
      <c r="Q138" s="20">
        <v>225</v>
      </c>
      <c r="R138" s="21">
        <f>IF($D$4="13,20,25㎜(一般家庭用)",IF($D$5&lt;=60,0,IF($D$5&gt;=100,40,$D$5-60)),0)</f>
        <v>0</v>
      </c>
      <c r="S138" s="20">
        <f t="shared" ref="S138:S147" si="7">Q138*R138</f>
        <v>0</v>
      </c>
    </row>
    <row r="139" spans="14:19" x14ac:dyDescent="0.4">
      <c r="N139" s="101"/>
      <c r="O139" s="22"/>
      <c r="P139" s="10" t="s">
        <v>27</v>
      </c>
      <c r="Q139" s="20">
        <v>280</v>
      </c>
      <c r="R139" s="21">
        <f>IF($D$4="13,20,25㎜(一般家庭用)",IF($D$5&lt;=100,0,IF($D$5&gt;=600,500,$D$5-100)),0)</f>
        <v>0</v>
      </c>
      <c r="S139" s="20">
        <f t="shared" si="7"/>
        <v>0</v>
      </c>
    </row>
    <row r="140" spans="14:19" x14ac:dyDescent="0.4">
      <c r="N140" s="101"/>
      <c r="O140" s="23"/>
      <c r="P140" s="24" t="s">
        <v>28</v>
      </c>
      <c r="Q140" s="20">
        <v>330</v>
      </c>
      <c r="R140" s="21">
        <f>IF($D$4="13,20,25㎜(一般家庭用)",IF($D$5&lt;=600,0,IF($D$5&gt;=2000,1400,$D$5-600)),0)</f>
        <v>0</v>
      </c>
      <c r="S140" s="20">
        <f t="shared" si="7"/>
        <v>0</v>
      </c>
    </row>
    <row r="141" spans="14:19" x14ac:dyDescent="0.4">
      <c r="N141" s="101"/>
      <c r="O141" s="27"/>
      <c r="P141" s="28" t="s">
        <v>29</v>
      </c>
      <c r="Q141" s="20">
        <v>350</v>
      </c>
      <c r="R141" s="21">
        <f>IF($D$4="13,20,25㎜(一般家庭用)",IF($D$5&gt;=2001,$D$5-2000,0),0)</f>
        <v>0</v>
      </c>
      <c r="S141" s="20">
        <f t="shared" si="7"/>
        <v>0</v>
      </c>
    </row>
    <row r="142" spans="14:19" x14ac:dyDescent="0.4">
      <c r="N142" s="101"/>
      <c r="O142" s="29" t="s">
        <v>30</v>
      </c>
      <c r="P142" s="10" t="s">
        <v>31</v>
      </c>
      <c r="Q142" s="20">
        <v>140</v>
      </c>
      <c r="R142" s="21">
        <f>IF($D$4="13,20,25㎜(一般家庭用)",0,IF($D$5&gt;=40,40,$D$5))</f>
        <v>0</v>
      </c>
      <c r="S142" s="20">
        <f t="shared" si="7"/>
        <v>0</v>
      </c>
    </row>
    <row r="143" spans="14:19" x14ac:dyDescent="0.4">
      <c r="N143" s="101"/>
      <c r="O143" s="30"/>
      <c r="P143" s="10" t="s">
        <v>25</v>
      </c>
      <c r="Q143" s="20">
        <v>205</v>
      </c>
      <c r="R143" s="21">
        <f>IF($D$4="13,20,25㎜(一般家庭用)",0,IF($D$5&lt;=40,0,IF($D$5&gt;=60,20,$D$5-40)))</f>
        <v>0</v>
      </c>
      <c r="S143" s="20">
        <f t="shared" si="7"/>
        <v>0</v>
      </c>
    </row>
    <row r="144" spans="14:19" x14ac:dyDescent="0.4">
      <c r="N144" s="101"/>
      <c r="O144" s="30"/>
      <c r="P144" s="10" t="s">
        <v>26</v>
      </c>
      <c r="Q144" s="20">
        <v>225</v>
      </c>
      <c r="R144" s="21">
        <f>IF($D$4="13,20,25㎜(一般家庭用)",0,IF($D$5&lt;=60,0,IF($D$5&gt;=100,40,$D$5-60)))</f>
        <v>0</v>
      </c>
      <c r="S144" s="20">
        <f t="shared" si="7"/>
        <v>0</v>
      </c>
    </row>
    <row r="145" spans="14:19" x14ac:dyDescent="0.4">
      <c r="N145" s="101"/>
      <c r="O145" s="30"/>
      <c r="P145" s="10" t="s">
        <v>27</v>
      </c>
      <c r="Q145" s="20">
        <v>280</v>
      </c>
      <c r="R145" s="21">
        <f>IF($D$4="13,20,25㎜(一般家庭用)",0,IF($D$5&lt;=100,0,IF($D$5&gt;=600,500,$D$5-100)))</f>
        <v>0</v>
      </c>
      <c r="S145" s="20">
        <f t="shared" si="7"/>
        <v>0</v>
      </c>
    </row>
    <row r="146" spans="14:19" x14ac:dyDescent="0.4">
      <c r="N146" s="101"/>
      <c r="O146" s="30"/>
      <c r="P146" s="28" t="s">
        <v>28</v>
      </c>
      <c r="Q146" s="20">
        <v>330</v>
      </c>
      <c r="R146" s="21">
        <f>IF($D$4="13,20,25㎜(一般家庭用)",0,IF($D$5&lt;=600,0,IF($D$5&gt;=2000,1400,$D$5-600)))</f>
        <v>0</v>
      </c>
      <c r="S146" s="20">
        <f t="shared" si="7"/>
        <v>0</v>
      </c>
    </row>
    <row r="147" spans="14:19" ht="19.5" thickBot="1" x14ac:dyDescent="0.45">
      <c r="N147" s="102"/>
      <c r="O147" s="33"/>
      <c r="P147" s="34" t="s">
        <v>29</v>
      </c>
      <c r="Q147" s="20">
        <v>350</v>
      </c>
      <c r="R147" s="21">
        <f>IF($D$4="13,20,25㎜(一般家庭用)",0,IF($D$5&gt;=2001,$D$5-2000,0))</f>
        <v>0</v>
      </c>
      <c r="S147" s="20">
        <f t="shared" si="7"/>
        <v>0</v>
      </c>
    </row>
    <row r="148" spans="14:19" ht="19.5" thickBot="1" x14ac:dyDescent="0.45">
      <c r="R148" s="25" t="s">
        <v>32</v>
      </c>
      <c r="S148" s="35">
        <f>SUM(S133:S147)</f>
        <v>580</v>
      </c>
    </row>
    <row r="149" spans="14:19" x14ac:dyDescent="0.4">
      <c r="O149" s="13"/>
      <c r="P149" s="13"/>
    </row>
    <row r="150" spans="14:19" x14ac:dyDescent="0.4">
      <c r="N150" s="6" t="s">
        <v>33</v>
      </c>
    </row>
    <row r="151" spans="14:19" x14ac:dyDescent="0.4">
      <c r="O151" s="36" t="s">
        <v>19</v>
      </c>
      <c r="P151" s="10" t="s">
        <v>34</v>
      </c>
      <c r="Q151" s="20">
        <v>1534</v>
      </c>
      <c r="R151" s="21">
        <v>20</v>
      </c>
      <c r="S151" s="20">
        <v>1534</v>
      </c>
    </row>
    <row r="152" spans="14:19" x14ac:dyDescent="0.4">
      <c r="O152" s="37" t="s">
        <v>20</v>
      </c>
      <c r="P152" s="10" t="s">
        <v>24</v>
      </c>
      <c r="Q152" s="20">
        <v>102</v>
      </c>
      <c r="R152" s="21">
        <f>IF($D$5&lt;=20,0,IF($D$5&lt;=40,$D$5-20,40-20))</f>
        <v>0</v>
      </c>
      <c r="S152" s="20">
        <f>Q152*R152</f>
        <v>0</v>
      </c>
    </row>
    <row r="153" spans="14:19" x14ac:dyDescent="0.4">
      <c r="O153" s="30"/>
      <c r="P153" s="10" t="s">
        <v>35</v>
      </c>
      <c r="Q153" s="20">
        <v>169</v>
      </c>
      <c r="R153" s="21">
        <f>IF($D$5&lt;=40,0,IF($D$5&lt;=100,$D$5-40,60))</f>
        <v>0</v>
      </c>
      <c r="S153" s="20">
        <f t="shared" ref="S153:S156" si="8">Q153*R153</f>
        <v>0</v>
      </c>
    </row>
    <row r="154" spans="14:19" x14ac:dyDescent="0.4">
      <c r="O154" s="40"/>
      <c r="P154" s="10" t="s">
        <v>27</v>
      </c>
      <c r="Q154" s="20">
        <v>198</v>
      </c>
      <c r="R154" s="21">
        <f>IF($D$5&lt;=100,0,IF($D$5&lt;=600,$D$5-100,500))</f>
        <v>0</v>
      </c>
      <c r="S154" s="20">
        <f t="shared" si="8"/>
        <v>0</v>
      </c>
    </row>
    <row r="155" spans="14:19" x14ac:dyDescent="0.4">
      <c r="O155" s="40"/>
      <c r="P155" s="10" t="s">
        <v>28</v>
      </c>
      <c r="Q155" s="20">
        <v>239</v>
      </c>
      <c r="R155" s="21">
        <f>IF($D$5&lt;=600,0,IF($D$5&lt;=2000,$D$5-600,1400))</f>
        <v>0</v>
      </c>
      <c r="S155" s="20">
        <f t="shared" si="8"/>
        <v>0</v>
      </c>
    </row>
    <row r="156" spans="14:19" ht="19.5" thickBot="1" x14ac:dyDescent="0.45">
      <c r="O156" s="33"/>
      <c r="P156" s="10" t="s">
        <v>36</v>
      </c>
      <c r="Q156" s="20">
        <v>274</v>
      </c>
      <c r="R156" s="21">
        <f>IF($D$5&lt;=2000,0,$D$5-2000)</f>
        <v>0</v>
      </c>
      <c r="S156" s="20">
        <f t="shared" si="8"/>
        <v>0</v>
      </c>
    </row>
    <row r="157" spans="14:19" ht="19.5" thickBot="1" x14ac:dyDescent="0.45">
      <c r="R157" s="41" t="s">
        <v>37</v>
      </c>
      <c r="S157" s="35">
        <f>SUM(S151:S156)</f>
        <v>1534</v>
      </c>
    </row>
    <row r="159" spans="14:19" ht="24" x14ac:dyDescent="0.5">
      <c r="N159" s="2" t="s">
        <v>57</v>
      </c>
    </row>
    <row r="161" spans="14:19" x14ac:dyDescent="0.4">
      <c r="N161" s="6" t="s">
        <v>3</v>
      </c>
      <c r="P161" s="7"/>
      <c r="Q161" s="3"/>
      <c r="R161" s="3"/>
      <c r="S161" s="3"/>
    </row>
    <row r="162" spans="14:19" x14ac:dyDescent="0.4">
      <c r="N162" s="42" t="s">
        <v>1</v>
      </c>
      <c r="O162" s="28" t="s">
        <v>5</v>
      </c>
      <c r="P162" s="8"/>
      <c r="Q162" s="3"/>
    </row>
    <row r="163" spans="14:19" x14ac:dyDescent="0.4">
      <c r="N163" s="10" t="s">
        <v>2</v>
      </c>
      <c r="O163" s="11">
        <v>1580</v>
      </c>
      <c r="P163" s="9"/>
      <c r="Q163" s="3"/>
    </row>
    <row r="164" spans="14:19" x14ac:dyDescent="0.4">
      <c r="N164" s="10" t="s">
        <v>6</v>
      </c>
      <c r="O164" s="11">
        <v>7780</v>
      </c>
      <c r="P164" s="9"/>
    </row>
    <row r="165" spans="14:19" x14ac:dyDescent="0.4">
      <c r="N165" s="10" t="s">
        <v>9</v>
      </c>
      <c r="O165" s="11">
        <v>13860</v>
      </c>
      <c r="P165" s="9"/>
    </row>
    <row r="166" spans="14:19" x14ac:dyDescent="0.4">
      <c r="N166" s="10" t="s">
        <v>12</v>
      </c>
      <c r="O166" s="11">
        <v>27220</v>
      </c>
      <c r="P166" s="9"/>
    </row>
    <row r="167" spans="14:19" x14ac:dyDescent="0.4">
      <c r="N167" s="10" t="s">
        <v>14</v>
      </c>
      <c r="O167" s="11">
        <v>61900</v>
      </c>
      <c r="P167" s="9"/>
    </row>
    <row r="168" spans="14:19" x14ac:dyDescent="0.4">
      <c r="N168" s="10" t="s">
        <v>16</v>
      </c>
      <c r="O168" s="11">
        <v>120700</v>
      </c>
      <c r="P168" s="9"/>
    </row>
    <row r="169" spans="14:19" x14ac:dyDescent="0.4">
      <c r="N169" s="10" t="s">
        <v>17</v>
      </c>
      <c r="O169" s="11">
        <v>325520</v>
      </c>
      <c r="P169" s="9"/>
    </row>
    <row r="170" spans="14:19" x14ac:dyDescent="0.4">
      <c r="N170" s="10" t="s">
        <v>18</v>
      </c>
      <c r="O170" s="11">
        <v>628100</v>
      </c>
      <c r="P170" s="9"/>
    </row>
    <row r="171" spans="14:19" x14ac:dyDescent="0.4">
      <c r="O171" s="13"/>
      <c r="P171" s="13"/>
    </row>
    <row r="172" spans="14:19" x14ac:dyDescent="0.4">
      <c r="N172" s="10"/>
      <c r="O172" s="14" t="s">
        <v>19</v>
      </c>
      <c r="P172" s="15"/>
      <c r="Q172" s="16"/>
      <c r="R172" s="17">
        <v>0</v>
      </c>
      <c r="S172" s="18">
        <f>VLOOKUP(D4,N163:O170,2,FALSE)</f>
        <v>1580</v>
      </c>
    </row>
    <row r="173" spans="14:19" x14ac:dyDescent="0.4">
      <c r="N173" s="100" t="s">
        <v>20</v>
      </c>
      <c r="O173" s="19" t="s">
        <v>21</v>
      </c>
      <c r="P173" s="10" t="s">
        <v>22</v>
      </c>
      <c r="Q173" s="20">
        <v>25</v>
      </c>
      <c r="R173" s="21">
        <f>IF($D$4="13,20,25㎜(一般家庭用)",IF($D$5&gt;=12,12,$D$5),0)</f>
        <v>12</v>
      </c>
      <c r="S173" s="20">
        <f>Q173*R173</f>
        <v>300</v>
      </c>
    </row>
    <row r="174" spans="14:19" x14ac:dyDescent="0.4">
      <c r="N174" s="101"/>
      <c r="O174" s="22"/>
      <c r="P174" s="10" t="s">
        <v>23</v>
      </c>
      <c r="Q174" s="20">
        <v>35</v>
      </c>
      <c r="R174" s="21">
        <f>IF($D$4="13,20,25㎜(一般家庭用)",IF($D$5&lt;=12,0,IF($D$5&gt;=20,8,$D$5-12)),0)</f>
        <v>8</v>
      </c>
      <c r="S174" s="20">
        <f>Q174*R174</f>
        <v>280</v>
      </c>
    </row>
    <row r="175" spans="14:19" x14ac:dyDescent="0.4">
      <c r="N175" s="101"/>
      <c r="O175" s="22"/>
      <c r="P175" s="10" t="s">
        <v>24</v>
      </c>
      <c r="Q175" s="20">
        <v>140</v>
      </c>
      <c r="R175" s="21">
        <f>IF($D$4="13,20,25㎜(一般家庭用)",IF($D$5&lt;=20,0,IF($D$5&gt;=40,20,$D$5-20)),0)</f>
        <v>0</v>
      </c>
      <c r="S175" s="20">
        <f>Q175*R175</f>
        <v>0</v>
      </c>
    </row>
    <row r="176" spans="14:19" x14ac:dyDescent="0.4">
      <c r="N176" s="101"/>
      <c r="O176" s="22"/>
      <c r="P176" s="10" t="s">
        <v>25</v>
      </c>
      <c r="Q176" s="20">
        <v>205</v>
      </c>
      <c r="R176" s="21">
        <f>IF($D$4="13,20,25㎜(一般家庭用)",IF($D$5&lt;=40,0,IF($D$5&gt;=60,20,$D$5-40)),0)</f>
        <v>0</v>
      </c>
      <c r="S176" s="20">
        <f>Q176*R176</f>
        <v>0</v>
      </c>
    </row>
    <row r="177" spans="14:19" x14ac:dyDescent="0.4">
      <c r="N177" s="101"/>
      <c r="O177" s="22"/>
      <c r="P177" s="10" t="s">
        <v>26</v>
      </c>
      <c r="Q177" s="20">
        <v>225</v>
      </c>
      <c r="R177" s="21">
        <f>IF($D$4="13,20,25㎜(一般家庭用)",IF($D$5&lt;=60,0,IF($D$5&gt;=100,40,$D$5-60)),0)</f>
        <v>0</v>
      </c>
      <c r="S177" s="20">
        <f t="shared" ref="S177:S186" si="9">Q177*R177</f>
        <v>0</v>
      </c>
    </row>
    <row r="178" spans="14:19" x14ac:dyDescent="0.4">
      <c r="N178" s="101"/>
      <c r="O178" s="22"/>
      <c r="P178" s="10" t="s">
        <v>27</v>
      </c>
      <c r="Q178" s="20">
        <v>280</v>
      </c>
      <c r="R178" s="21">
        <f>IF($D$4="13,20,25㎜(一般家庭用)",IF($D$5&lt;=100,0,IF($D$5&gt;=600,500,$D$5-100)),0)</f>
        <v>0</v>
      </c>
      <c r="S178" s="20">
        <f t="shared" si="9"/>
        <v>0</v>
      </c>
    </row>
    <row r="179" spans="14:19" x14ac:dyDescent="0.4">
      <c r="N179" s="101"/>
      <c r="O179" s="23"/>
      <c r="P179" s="24" t="s">
        <v>28</v>
      </c>
      <c r="Q179" s="20">
        <v>330</v>
      </c>
      <c r="R179" s="21">
        <f>IF($D$4="13,20,25㎜(一般家庭用)",IF($D$5&lt;=600,0,IF($D$5&gt;=2000,1400,$D$5-600)),0)</f>
        <v>0</v>
      </c>
      <c r="S179" s="20">
        <f t="shared" si="9"/>
        <v>0</v>
      </c>
    </row>
    <row r="180" spans="14:19" x14ac:dyDescent="0.4">
      <c r="N180" s="101"/>
      <c r="O180" s="27"/>
      <c r="P180" s="28" t="s">
        <v>29</v>
      </c>
      <c r="Q180" s="20">
        <v>350</v>
      </c>
      <c r="R180" s="21">
        <f>IF($D$4="13,20,25㎜(一般家庭用)",IF($D$5&gt;=2001,$D$5-2000,0),0)</f>
        <v>0</v>
      </c>
      <c r="S180" s="20">
        <f t="shared" si="9"/>
        <v>0</v>
      </c>
    </row>
    <row r="181" spans="14:19" x14ac:dyDescent="0.4">
      <c r="N181" s="101"/>
      <c r="O181" s="29" t="s">
        <v>30</v>
      </c>
      <c r="P181" s="10" t="s">
        <v>31</v>
      </c>
      <c r="Q181" s="20">
        <v>140</v>
      </c>
      <c r="R181" s="21">
        <f>IF($D$4="13,20,25㎜(一般家庭用)",0,IF($D$5&gt;=40,40,$D$5))</f>
        <v>0</v>
      </c>
      <c r="S181" s="20">
        <f t="shared" si="9"/>
        <v>0</v>
      </c>
    </row>
    <row r="182" spans="14:19" x14ac:dyDescent="0.4">
      <c r="N182" s="101"/>
      <c r="O182" s="30"/>
      <c r="P182" s="10" t="s">
        <v>25</v>
      </c>
      <c r="Q182" s="20">
        <v>205</v>
      </c>
      <c r="R182" s="21">
        <f>IF($D$4="13,20,25㎜(一般家庭用)",0,IF($D$5&lt;=40,0,IF($D$5&gt;=60,20,$D$5-40)))</f>
        <v>0</v>
      </c>
      <c r="S182" s="20">
        <f t="shared" si="9"/>
        <v>0</v>
      </c>
    </row>
    <row r="183" spans="14:19" x14ac:dyDescent="0.4">
      <c r="N183" s="101"/>
      <c r="O183" s="30"/>
      <c r="P183" s="10" t="s">
        <v>26</v>
      </c>
      <c r="Q183" s="20">
        <v>225</v>
      </c>
      <c r="R183" s="21">
        <f>IF($D$4="13,20,25㎜(一般家庭用)",0,IF($D$5&lt;=60,0,IF($D$5&gt;=100,40,$D$5-60)))</f>
        <v>0</v>
      </c>
      <c r="S183" s="20">
        <f t="shared" si="9"/>
        <v>0</v>
      </c>
    </row>
    <row r="184" spans="14:19" x14ac:dyDescent="0.4">
      <c r="N184" s="101"/>
      <c r="O184" s="30"/>
      <c r="P184" s="10" t="s">
        <v>27</v>
      </c>
      <c r="Q184" s="20">
        <v>280</v>
      </c>
      <c r="R184" s="21">
        <f>IF($D$4="13,20,25㎜(一般家庭用)",0,IF($D$5&lt;=100,0,IF($D$5&gt;=600,500,$D$5-100)))</f>
        <v>0</v>
      </c>
      <c r="S184" s="20">
        <f t="shared" si="9"/>
        <v>0</v>
      </c>
    </row>
    <row r="185" spans="14:19" x14ac:dyDescent="0.4">
      <c r="N185" s="101"/>
      <c r="O185" s="30"/>
      <c r="P185" s="28" t="s">
        <v>28</v>
      </c>
      <c r="Q185" s="20">
        <v>330</v>
      </c>
      <c r="R185" s="21">
        <f>IF($D$4="13,20,25㎜(一般家庭用)",0,IF($D$5&lt;=600,0,IF($D$5&gt;=2000,1400,$D$5-600)))</f>
        <v>0</v>
      </c>
      <c r="S185" s="20">
        <f t="shared" si="9"/>
        <v>0</v>
      </c>
    </row>
    <row r="186" spans="14:19" ht="19.5" thickBot="1" x14ac:dyDescent="0.45">
      <c r="N186" s="102"/>
      <c r="O186" s="33"/>
      <c r="P186" s="34" t="s">
        <v>29</v>
      </c>
      <c r="Q186" s="20">
        <v>350</v>
      </c>
      <c r="R186" s="21">
        <f>IF($D$4="13,20,25㎜(一般家庭用)",0,IF($D$5&gt;=2001,$D$5-2000,0))</f>
        <v>0</v>
      </c>
      <c r="S186" s="20">
        <f t="shared" si="9"/>
        <v>0</v>
      </c>
    </row>
    <row r="187" spans="14:19" ht="19.5" thickBot="1" x14ac:dyDescent="0.45">
      <c r="R187" s="25" t="s">
        <v>32</v>
      </c>
      <c r="S187" s="35">
        <f>SUM(S172:S186)</f>
        <v>2160</v>
      </c>
    </row>
    <row r="188" spans="14:19" x14ac:dyDescent="0.4">
      <c r="O188" s="13"/>
      <c r="P188" s="13"/>
    </row>
    <row r="189" spans="14:19" x14ac:dyDescent="0.4">
      <c r="N189" s="6" t="s">
        <v>33</v>
      </c>
    </row>
    <row r="190" spans="14:19" x14ac:dyDescent="0.4">
      <c r="O190" s="36" t="s">
        <v>19</v>
      </c>
      <c r="P190" s="10" t="s">
        <v>34</v>
      </c>
      <c r="Q190" s="20">
        <v>1534</v>
      </c>
      <c r="R190" s="21">
        <v>20</v>
      </c>
      <c r="S190" s="20">
        <v>1534</v>
      </c>
    </row>
    <row r="191" spans="14:19" x14ac:dyDescent="0.4">
      <c r="O191" s="37" t="s">
        <v>20</v>
      </c>
      <c r="P191" s="10" t="s">
        <v>24</v>
      </c>
      <c r="Q191" s="20">
        <v>102</v>
      </c>
      <c r="R191" s="21">
        <f>IF($D$5&lt;=20,0,IF($D$5&lt;=40,$D$5-20,40-20))</f>
        <v>0</v>
      </c>
      <c r="S191" s="20">
        <f>Q191*R191</f>
        <v>0</v>
      </c>
    </row>
    <row r="192" spans="14:19" x14ac:dyDescent="0.4">
      <c r="O192" s="30"/>
      <c r="P192" s="10" t="s">
        <v>35</v>
      </c>
      <c r="Q192" s="20">
        <v>169</v>
      </c>
      <c r="R192" s="21">
        <f>IF($D$5&lt;=40,0,IF($D$5&lt;=100,$D$5-40,60))</f>
        <v>0</v>
      </c>
      <c r="S192" s="20">
        <f t="shared" ref="S192:S195" si="10">Q192*R192</f>
        <v>0</v>
      </c>
    </row>
    <row r="193" spans="14:19" x14ac:dyDescent="0.4">
      <c r="O193" s="40"/>
      <c r="P193" s="10" t="s">
        <v>27</v>
      </c>
      <c r="Q193" s="20">
        <v>198</v>
      </c>
      <c r="R193" s="21">
        <f>IF($D$5&lt;=100,0,IF($D$5&lt;=600,$D$5-100,500))</f>
        <v>0</v>
      </c>
      <c r="S193" s="20">
        <f t="shared" si="10"/>
        <v>0</v>
      </c>
    </row>
    <row r="194" spans="14:19" x14ac:dyDescent="0.4">
      <c r="O194" s="40"/>
      <c r="P194" s="10" t="s">
        <v>28</v>
      </c>
      <c r="Q194" s="20">
        <v>239</v>
      </c>
      <c r="R194" s="21">
        <f>IF($D$5&lt;=600,0,IF($D$5&lt;=2000,$D$5-600,1400))</f>
        <v>0</v>
      </c>
      <c r="S194" s="20">
        <f t="shared" si="10"/>
        <v>0</v>
      </c>
    </row>
    <row r="195" spans="14:19" ht="19.5" thickBot="1" x14ac:dyDescent="0.45">
      <c r="O195" s="33"/>
      <c r="P195" s="10" t="s">
        <v>36</v>
      </c>
      <c r="Q195" s="20">
        <v>274</v>
      </c>
      <c r="R195" s="21">
        <f>IF($D$5&lt;=2000,0,$D$5-2000)</f>
        <v>0</v>
      </c>
      <c r="S195" s="20">
        <f t="shared" si="10"/>
        <v>0</v>
      </c>
    </row>
    <row r="196" spans="14:19" ht="19.5" thickBot="1" x14ac:dyDescent="0.45">
      <c r="R196" s="41" t="s">
        <v>37</v>
      </c>
      <c r="S196" s="35">
        <f>SUM(S190:S195)</f>
        <v>1534</v>
      </c>
    </row>
    <row r="197" spans="14:19" x14ac:dyDescent="0.4">
      <c r="R197" s="41"/>
      <c r="S197" s="26"/>
    </row>
    <row r="198" spans="14:19" ht="24" x14ac:dyDescent="0.5">
      <c r="N198" s="2" t="s">
        <v>39</v>
      </c>
    </row>
    <row r="200" spans="14:19" x14ac:dyDescent="0.4">
      <c r="N200" s="6" t="s">
        <v>3</v>
      </c>
      <c r="P200" s="7"/>
      <c r="Q200" s="3"/>
      <c r="R200" s="3"/>
      <c r="S200" s="3"/>
    </row>
    <row r="201" spans="14:19" x14ac:dyDescent="0.4">
      <c r="N201" s="42" t="s">
        <v>1</v>
      </c>
      <c r="O201" s="28" t="s">
        <v>5</v>
      </c>
      <c r="P201" s="8"/>
      <c r="Q201" s="3"/>
    </row>
    <row r="202" spans="14:19" x14ac:dyDescent="0.4">
      <c r="N202" s="10" t="s">
        <v>2</v>
      </c>
      <c r="O202" s="11">
        <v>1780</v>
      </c>
      <c r="P202" s="9"/>
      <c r="Q202" s="3"/>
    </row>
    <row r="203" spans="14:19" x14ac:dyDescent="0.4">
      <c r="N203" s="10" t="s">
        <v>6</v>
      </c>
      <c r="O203" s="11">
        <v>8280</v>
      </c>
      <c r="P203" s="9"/>
    </row>
    <row r="204" spans="14:19" x14ac:dyDescent="0.4">
      <c r="N204" s="10" t="s">
        <v>9</v>
      </c>
      <c r="O204" s="11">
        <v>14460</v>
      </c>
      <c r="P204" s="9"/>
    </row>
    <row r="205" spans="14:19" x14ac:dyDescent="0.4">
      <c r="N205" s="10" t="s">
        <v>12</v>
      </c>
      <c r="O205" s="11">
        <v>27920</v>
      </c>
      <c r="P205" s="9"/>
    </row>
    <row r="206" spans="14:19" x14ac:dyDescent="0.4">
      <c r="N206" s="10" t="s">
        <v>14</v>
      </c>
      <c r="O206" s="11">
        <v>62700</v>
      </c>
      <c r="P206" s="9"/>
    </row>
    <row r="207" spans="14:19" x14ac:dyDescent="0.4">
      <c r="N207" s="10" t="s">
        <v>16</v>
      </c>
      <c r="O207" s="11">
        <v>121800</v>
      </c>
      <c r="P207" s="9"/>
    </row>
    <row r="208" spans="14:19" x14ac:dyDescent="0.4">
      <c r="N208" s="10" t="s">
        <v>17</v>
      </c>
      <c r="O208" s="11">
        <v>326820</v>
      </c>
      <c r="P208" s="9"/>
    </row>
    <row r="209" spans="14:19" x14ac:dyDescent="0.4">
      <c r="N209" s="10" t="s">
        <v>18</v>
      </c>
      <c r="O209" s="11">
        <v>629600</v>
      </c>
      <c r="P209" s="9"/>
    </row>
    <row r="210" spans="14:19" x14ac:dyDescent="0.4">
      <c r="O210" s="13"/>
      <c r="P210" s="13"/>
    </row>
    <row r="211" spans="14:19" x14ac:dyDescent="0.4">
      <c r="N211" s="10"/>
      <c r="O211" s="14" t="s">
        <v>19</v>
      </c>
      <c r="P211" s="15"/>
      <c r="Q211" s="16"/>
      <c r="R211" s="17">
        <v>0</v>
      </c>
      <c r="S211" s="18">
        <f>VLOOKUP(D4,N202:O209,2,FALSE)</f>
        <v>1780</v>
      </c>
    </row>
    <row r="212" spans="14:19" x14ac:dyDescent="0.4">
      <c r="N212" s="100" t="s">
        <v>20</v>
      </c>
      <c r="O212" s="19" t="s">
        <v>21</v>
      </c>
      <c r="P212" s="10" t="s">
        <v>22</v>
      </c>
      <c r="Q212" s="20">
        <v>25</v>
      </c>
      <c r="R212" s="21">
        <f>IF($D$4="13,20,25㎜(一般家庭用)",IF($D$5&gt;=12,12,$D$5),0)</f>
        <v>12</v>
      </c>
      <c r="S212" s="20">
        <f>Q212*R212</f>
        <v>300</v>
      </c>
    </row>
    <row r="213" spans="14:19" x14ac:dyDescent="0.4">
      <c r="N213" s="101"/>
      <c r="O213" s="22"/>
      <c r="P213" s="10" t="s">
        <v>23</v>
      </c>
      <c r="Q213" s="20">
        <v>35</v>
      </c>
      <c r="R213" s="21">
        <f>IF($D$4="13,20,25㎜(一般家庭用)",IF($D$5&lt;=12,0,IF($D$5&gt;=20,8,$D$5-12)),0)</f>
        <v>8</v>
      </c>
      <c r="S213" s="20">
        <f>Q213*R213</f>
        <v>280</v>
      </c>
    </row>
    <row r="214" spans="14:19" x14ac:dyDescent="0.4">
      <c r="N214" s="101"/>
      <c r="O214" s="22"/>
      <c r="P214" s="10" t="s">
        <v>24</v>
      </c>
      <c r="Q214" s="20">
        <v>140</v>
      </c>
      <c r="R214" s="21">
        <f>IF($D$4="13,20,25㎜(一般家庭用)",IF($D$5&lt;=20,0,IF($D$5&gt;=40,20,$D$5-20)),0)</f>
        <v>0</v>
      </c>
      <c r="S214" s="20">
        <f>Q214*R214</f>
        <v>0</v>
      </c>
    </row>
    <row r="215" spans="14:19" x14ac:dyDescent="0.4">
      <c r="N215" s="101"/>
      <c r="O215" s="22"/>
      <c r="P215" s="10" t="s">
        <v>25</v>
      </c>
      <c r="Q215" s="20">
        <v>205</v>
      </c>
      <c r="R215" s="21">
        <f>IF($D$4="13,20,25㎜(一般家庭用)",IF($D$5&lt;=40,0,IF($D$5&gt;=60,20,$D$5-40)),0)</f>
        <v>0</v>
      </c>
      <c r="S215" s="20">
        <f>Q215*R215</f>
        <v>0</v>
      </c>
    </row>
    <row r="216" spans="14:19" x14ac:dyDescent="0.4">
      <c r="N216" s="101"/>
      <c r="O216" s="22"/>
      <c r="P216" s="10" t="s">
        <v>26</v>
      </c>
      <c r="Q216" s="20">
        <v>225</v>
      </c>
      <c r="R216" s="21">
        <f>IF($D$4="13,20,25㎜(一般家庭用)",IF($D$5&lt;=60,0,IF($D$5&gt;=100,40,$D$5-60)),0)</f>
        <v>0</v>
      </c>
      <c r="S216" s="20">
        <f t="shared" ref="S216:S225" si="11">Q216*R216</f>
        <v>0</v>
      </c>
    </row>
    <row r="217" spans="14:19" x14ac:dyDescent="0.4">
      <c r="N217" s="101"/>
      <c r="O217" s="22"/>
      <c r="P217" s="10" t="s">
        <v>27</v>
      </c>
      <c r="Q217" s="20">
        <v>280</v>
      </c>
      <c r="R217" s="21">
        <f>IF($D$4="13,20,25㎜(一般家庭用)",IF($D$5&lt;=100,0,IF($D$5&gt;=600,500,$D$5-100)),0)</f>
        <v>0</v>
      </c>
      <c r="S217" s="20">
        <f t="shared" si="11"/>
        <v>0</v>
      </c>
    </row>
    <row r="218" spans="14:19" x14ac:dyDescent="0.4">
      <c r="N218" s="101"/>
      <c r="O218" s="23"/>
      <c r="P218" s="24" t="s">
        <v>28</v>
      </c>
      <c r="Q218" s="20">
        <v>330</v>
      </c>
      <c r="R218" s="21">
        <f>IF($D$4="13,20,25㎜(一般家庭用)",IF($D$5&lt;=600,0,IF($D$5&gt;=2000,1400,$D$5-600)),0)</f>
        <v>0</v>
      </c>
      <c r="S218" s="20">
        <f t="shared" si="11"/>
        <v>0</v>
      </c>
    </row>
    <row r="219" spans="14:19" x14ac:dyDescent="0.4">
      <c r="N219" s="101"/>
      <c r="O219" s="27"/>
      <c r="P219" s="28" t="s">
        <v>29</v>
      </c>
      <c r="Q219" s="20">
        <v>350</v>
      </c>
      <c r="R219" s="21">
        <f>IF($D$4="13,20,25㎜(一般家庭用)",IF($D$5&gt;=2001,$D$5-2000,0),0)</f>
        <v>0</v>
      </c>
      <c r="S219" s="20">
        <f t="shared" si="11"/>
        <v>0</v>
      </c>
    </row>
    <row r="220" spans="14:19" x14ac:dyDescent="0.4">
      <c r="N220" s="101"/>
      <c r="O220" s="29" t="s">
        <v>30</v>
      </c>
      <c r="P220" s="10" t="s">
        <v>31</v>
      </c>
      <c r="Q220" s="20">
        <v>140</v>
      </c>
      <c r="R220" s="21">
        <f>IF($D$4="13,20,25㎜(一般家庭用)",0,IF($D$5&gt;=40,40,$D$5))</f>
        <v>0</v>
      </c>
      <c r="S220" s="20">
        <f t="shared" si="11"/>
        <v>0</v>
      </c>
    </row>
    <row r="221" spans="14:19" x14ac:dyDescent="0.4">
      <c r="N221" s="101"/>
      <c r="O221" s="30"/>
      <c r="P221" s="10" t="s">
        <v>25</v>
      </c>
      <c r="Q221" s="20">
        <v>205</v>
      </c>
      <c r="R221" s="21">
        <f>IF($D$4="13,20,25㎜(一般家庭用)",0,IF($D$5&lt;=40,0,IF($D$5&gt;=60,20,$D$5-40)))</f>
        <v>0</v>
      </c>
      <c r="S221" s="20">
        <f t="shared" si="11"/>
        <v>0</v>
      </c>
    </row>
    <row r="222" spans="14:19" x14ac:dyDescent="0.4">
      <c r="N222" s="101"/>
      <c r="O222" s="30"/>
      <c r="P222" s="10" t="s">
        <v>26</v>
      </c>
      <c r="Q222" s="20">
        <v>225</v>
      </c>
      <c r="R222" s="21">
        <f>IF($D$4="13,20,25㎜(一般家庭用)",0,IF($D$5&lt;=60,0,IF($D$5&gt;=100,40,$D$5-60)))</f>
        <v>0</v>
      </c>
      <c r="S222" s="20">
        <f t="shared" si="11"/>
        <v>0</v>
      </c>
    </row>
    <row r="223" spans="14:19" x14ac:dyDescent="0.4">
      <c r="N223" s="101"/>
      <c r="O223" s="30"/>
      <c r="P223" s="10" t="s">
        <v>27</v>
      </c>
      <c r="Q223" s="20">
        <v>280</v>
      </c>
      <c r="R223" s="21">
        <f>IF($D$4="13,20,25㎜(一般家庭用)",0,IF($D$5&lt;=100,0,IF($D$5&gt;=600,500,$D$5-100)))</f>
        <v>0</v>
      </c>
      <c r="S223" s="20">
        <f t="shared" si="11"/>
        <v>0</v>
      </c>
    </row>
    <row r="224" spans="14:19" x14ac:dyDescent="0.4">
      <c r="N224" s="101"/>
      <c r="O224" s="30"/>
      <c r="P224" s="28" t="s">
        <v>28</v>
      </c>
      <c r="Q224" s="20">
        <v>330</v>
      </c>
      <c r="R224" s="21">
        <f>IF($D$4="13,20,25㎜(一般家庭用)",0,IF($D$5&lt;=600,0,IF($D$5&gt;=2000,1400,$D$5-600)))</f>
        <v>0</v>
      </c>
      <c r="S224" s="20">
        <f t="shared" si="11"/>
        <v>0</v>
      </c>
    </row>
    <row r="225" spans="14:19" ht="19.5" thickBot="1" x14ac:dyDescent="0.45">
      <c r="N225" s="102"/>
      <c r="O225" s="33"/>
      <c r="P225" s="34" t="s">
        <v>29</v>
      </c>
      <c r="Q225" s="20">
        <v>350</v>
      </c>
      <c r="R225" s="21">
        <f>IF($D$4="13,20,25㎜(一般家庭用)",0,IF($D$5&gt;=2001,$D$5-2000,0))</f>
        <v>0</v>
      </c>
      <c r="S225" s="20">
        <f t="shared" si="11"/>
        <v>0</v>
      </c>
    </row>
    <row r="226" spans="14:19" ht="19.5" thickBot="1" x14ac:dyDescent="0.45">
      <c r="R226" s="25" t="s">
        <v>32</v>
      </c>
      <c r="S226" s="35">
        <f>SUM(S211:S225)</f>
        <v>2360</v>
      </c>
    </row>
    <row r="227" spans="14:19" x14ac:dyDescent="0.4">
      <c r="O227" s="13"/>
      <c r="P227" s="13"/>
    </row>
    <row r="228" spans="14:19" x14ac:dyDescent="0.4">
      <c r="N228" s="6" t="s">
        <v>33</v>
      </c>
    </row>
    <row r="229" spans="14:19" x14ac:dyDescent="0.4">
      <c r="O229" s="36" t="s">
        <v>19</v>
      </c>
      <c r="P229" s="10" t="s">
        <v>34</v>
      </c>
      <c r="Q229" s="20">
        <v>1534</v>
      </c>
      <c r="R229" s="21">
        <v>20</v>
      </c>
      <c r="S229" s="20">
        <v>1534</v>
      </c>
    </row>
    <row r="230" spans="14:19" x14ac:dyDescent="0.4">
      <c r="O230" s="37" t="s">
        <v>20</v>
      </c>
      <c r="P230" s="10" t="s">
        <v>24</v>
      </c>
      <c r="Q230" s="20">
        <v>102</v>
      </c>
      <c r="R230" s="21">
        <f>IF($D$5&lt;=20,0,IF($D$5&lt;=40,$D$5-20,40-20))</f>
        <v>0</v>
      </c>
      <c r="S230" s="20">
        <f t="shared" ref="S230:S234" si="12">Q230*R230</f>
        <v>0</v>
      </c>
    </row>
    <row r="231" spans="14:19" x14ac:dyDescent="0.4">
      <c r="O231" s="30"/>
      <c r="P231" s="10" t="s">
        <v>35</v>
      </c>
      <c r="Q231" s="20">
        <v>169</v>
      </c>
      <c r="R231" s="21">
        <f>IF($D$5&lt;=40,0,IF($D$5&lt;=100,$D$5-40,60))</f>
        <v>0</v>
      </c>
      <c r="S231" s="20">
        <f t="shared" si="12"/>
        <v>0</v>
      </c>
    </row>
    <row r="232" spans="14:19" x14ac:dyDescent="0.4">
      <c r="O232" s="40"/>
      <c r="P232" s="10" t="s">
        <v>27</v>
      </c>
      <c r="Q232" s="20">
        <v>198</v>
      </c>
      <c r="R232" s="21">
        <f>IF($D$5&lt;=100,0,IF($D$5&lt;=600,$D$5-100,500))</f>
        <v>0</v>
      </c>
      <c r="S232" s="20">
        <f t="shared" si="12"/>
        <v>0</v>
      </c>
    </row>
    <row r="233" spans="14:19" x14ac:dyDescent="0.4">
      <c r="O233" s="40"/>
      <c r="P233" s="10" t="s">
        <v>28</v>
      </c>
      <c r="Q233" s="20">
        <v>239</v>
      </c>
      <c r="R233" s="21">
        <f>IF($D$5&lt;=600,0,IF($D$5&lt;=2000,$D$5-600,1400))</f>
        <v>0</v>
      </c>
      <c r="S233" s="20">
        <f t="shared" si="12"/>
        <v>0</v>
      </c>
    </row>
    <row r="234" spans="14:19" ht="19.5" thickBot="1" x14ac:dyDescent="0.45">
      <c r="O234" s="33"/>
      <c r="P234" s="10" t="s">
        <v>36</v>
      </c>
      <c r="Q234" s="20">
        <v>274</v>
      </c>
      <c r="R234" s="21">
        <f>IF($D$5&lt;=2000,0,$D$5-2000)</f>
        <v>0</v>
      </c>
      <c r="S234" s="20">
        <f t="shared" si="12"/>
        <v>0</v>
      </c>
    </row>
    <row r="235" spans="14:19" ht="19.5" thickBot="1" x14ac:dyDescent="0.45">
      <c r="R235" s="41" t="s">
        <v>37</v>
      </c>
      <c r="S235" s="35">
        <f>SUM(S229:S234)</f>
        <v>1534</v>
      </c>
    </row>
  </sheetData>
  <sheetProtection algorithmName="SHA-512" hashValue="EO0v08gdNPCxT6hXWV9WSv9iMKiTzJ4VcNEeAZJspdVNN9Oe1F/4XYhkoxSmycreSlgBN5+Y7G+5DNcmsKTe6Q==" saltValue="Mov3h98qbBvZaoXsDVBElw==" spinCount="100000" sheet="1" objects="1" scenarios="1"/>
  <mergeCells count="10">
    <mergeCell ref="B2:J2"/>
    <mergeCell ref="N173:N186"/>
    <mergeCell ref="N212:N225"/>
    <mergeCell ref="N5:N6"/>
    <mergeCell ref="O5:O6"/>
    <mergeCell ref="E6:H6"/>
    <mergeCell ref="N17:N30"/>
    <mergeCell ref="N56:N69"/>
    <mergeCell ref="N95:N108"/>
    <mergeCell ref="N134:N147"/>
  </mergeCells>
  <phoneticPr fontId="2"/>
  <conditionalFormatting sqref="F8">
    <cfRule type="expression" dxfId="11" priority="9">
      <formula>($D$4&lt;&gt;"13,20,25㎜(一般家庭用)")</formula>
    </cfRule>
  </conditionalFormatting>
  <conditionalFormatting sqref="F9">
    <cfRule type="expression" dxfId="10" priority="7">
      <formula>($D$4&lt;&gt;"13,20,25mm(一般家庭用)")</formula>
    </cfRule>
    <cfRule type="expression" dxfId="9" priority="13">
      <formula>($D$4="13,20,25mm(一般家庭用)")</formula>
    </cfRule>
  </conditionalFormatting>
  <conditionalFormatting sqref="F10:G10">
    <cfRule type="expression" dxfId="8" priority="6">
      <formula>($D$4&lt;&gt;"13,20,25mm(一般家庭用)")</formula>
    </cfRule>
    <cfRule type="expression" dxfId="7" priority="12">
      <formula>($D$4&lt;&gt;"13,20,25㎜(一般家庭用)")</formula>
    </cfRule>
  </conditionalFormatting>
  <conditionalFormatting sqref="F12:G12">
    <cfRule type="expression" dxfId="6" priority="3">
      <formula>($D$4&lt;&gt;"13,20,25mm(一般家庭用)")</formula>
    </cfRule>
    <cfRule type="expression" dxfId="5" priority="10">
      <formula>($D$4&lt;&gt;"13,20,25㎜(一般家庭用)")</formula>
    </cfRule>
  </conditionalFormatting>
  <conditionalFormatting sqref="G8">
    <cfRule type="expression" dxfId="4" priority="15">
      <formula>($D$4="13,20,25㎜(一般家庭用)")</formula>
    </cfRule>
  </conditionalFormatting>
  <conditionalFormatting sqref="G9">
    <cfRule type="expression" dxfId="3" priority="8">
      <formula>($D$4&lt;&gt;"13,20,25mm(一般家庭用)")</formula>
    </cfRule>
  </conditionalFormatting>
  <conditionalFormatting sqref="G10">
    <cfRule type="expression" dxfId="2" priority="2">
      <formula>($D$4&lt;&gt;"13,20,25mm(一般家庭用)")</formula>
    </cfRule>
  </conditionalFormatting>
  <conditionalFormatting sqref="G12">
    <cfRule type="expression" dxfId="1" priority="1">
      <formula>($D$4&lt;&gt;"13,20,25mm(一般家庭用)")</formula>
    </cfRule>
    <cfRule type="expression" dxfId="0" priority="5">
      <formula>($D$4&lt;&gt;"13,20,25㎜(一般家庭用)")</formula>
    </cfRule>
  </conditionalFormatting>
  <dataValidations count="1">
    <dataValidation type="list" allowBlank="1" showInputMessage="1" showErrorMessage="1" sqref="D4" xr:uid="{00000000-0002-0000-0000-000000000000}">
      <formula1>$N$7:$N$14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高槻市</vt:lpstr>
      <vt:lpstr>高槻市!Print_Area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2026-04-14T02:01:07Z</cp:lastPrinted>
  <dcterms:created xsi:type="dcterms:W3CDTF">2025-12-12T08:00:16Z</dcterms:created>
  <dcterms:modified xsi:type="dcterms:W3CDTF">2026-05-12T09:33:12Z</dcterms:modified>
</cp:coreProperties>
</file>